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C:\Users\User\Documents\CONTROL INTERNO\OCI-ESE CEMINSA 2025\INFORME PORMENORIZADO 2025\"/>
    </mc:Choice>
  </mc:AlternateContent>
  <xr:revisionPtr revIDLastSave="0" documentId="13_ncr:1_{765687B5-27EF-4C30-8B36-C70C0012D430}" xr6:coauthVersionLast="47" xr6:coauthVersionMax="47" xr10:uidLastSave="{00000000-0000-0000-0000-000000000000}"/>
  <bookViews>
    <workbookView xWindow="-108" yWindow="-108" windowWidth="23256" windowHeight="12576" activeTab="1" xr2:uid="{00000000-000D-0000-FFFF-FFFF00000000}"/>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<sst xmlns="http://schemas.openxmlformats.org/spreadsheetml/2006/main" count="514" uniqueCount="235">
  <si>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</si>
  <si>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</si>
  <si>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</si>
  <si>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</si>
  <si>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</si>
  <si>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</si>
  <si>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</si>
  <si>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</si>
  <si>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</si>
  <si>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</si>
  <si>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</si>
  <si>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</si>
  <si>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</si>
  <si>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</si>
  <si>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</si>
  <si>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</si>
  <si>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</si>
  <si>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</si>
  <si>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</si>
  <si>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</si>
  <si>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</si>
  <si>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</si>
  <si>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</si>
  <si>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</si>
  <si>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</si>
  <si>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</si>
  <si>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</si>
  <si>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</si>
  <si>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</si>
  <si>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</si>
  <si>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</si>
  <si>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</si>
  <si>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</si>
  <si>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</si>
  <si>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</si>
  <si>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</si>
  <si>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</si>
  <si>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</si>
  <si>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</si>
  <si>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</si>
  <si>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</si>
  <si>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</si>
  <si>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</si>
  <si>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</si>
  <si>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</si>
  <si>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</si>
  <si>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</si>
  <si>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</si>
  <si>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</si>
  <si>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</si>
  <si>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</si>
  <si>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</si>
  <si>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</si>
  <si>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</si>
  <si>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</si>
  <si>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</si>
  <si>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</si>
  <si>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</si>
  <si>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</si>
  <si>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</si>
  <si>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</si>
  <si>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</si>
  <si>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</si>
  <si>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</si>
  <si>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</si>
  <si>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</si>
  <si>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</si>
  <si>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</si>
  <si>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</si>
  <si>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</si>
  <si>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</si>
  <si>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</si>
  <si>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</si>
  <si>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</si>
  <si>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</si>
  <si>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</si>
  <si>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</si>
  <si>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</si>
  <si>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</si>
  <si>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</si>
  <si>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</si>
  <si>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</si>
  <si>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</si>
  <si>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</si>
  <si>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</si>
  <si>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</si>
  <si>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</si>
  <si>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</si>
  <si>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</si>
  <si>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</si>
  <si>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</si>
  <si>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</si>
  <si>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</si>
  <si>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</si>
  <si>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</si>
  <si>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</si>
  <si>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</si>
  <si>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</si>
  <si>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</si>
  <si>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</si>
  <si>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</si>
  <si>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</si>
  <si>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</si>
  <si>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</si>
  <si>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</si>
  <si>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</si>
  <si>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</si>
  <si>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</si>
  <si>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</si>
  <si>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</si>
  <si>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</si>
  <si>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</si>
  <si>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</si>
  <si>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</si>
  <si>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</si>
  <si>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</si>
  <si>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</si>
  <si>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</si>
  <si>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</si>
  <si>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</si>
  <si>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</si>
  <si>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</si>
  <si>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</si>
  <si>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</si>
  <si>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</si>
  <si>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</si>
  <si>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</si>
  <si>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</si>
  <si>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</si>
  <si>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</si>
  <si>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</si>
  <si>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</si>
  <si>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</si>
  <si>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</si>
  <si>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</si>
  <si>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</si>
  <si>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</si>
  <si>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</si>
  <si>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</si>
  <si>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</si>
  <si>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</si>
  <si>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</si>
  <si>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</si>
  <si>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</si>
  <si>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</si>
  <si>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</si>
  <si>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</si>
  <si>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</si>
  <si>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</si>
  <si>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</si>
  <si>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</si>
  <si>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</si>
  <si>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</si>
  <si>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</si>
  <si>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</si>
  <si>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</si>
  <si>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</si>
  <si>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</si>
  <si>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</si>
  <si>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</si>
  <si>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</si>
  <si>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</si>
  <si>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</si>
  <si>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</si>
  <si>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</si>
  <si>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</si>
  <si>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</si>
  <si>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</si>
  <si>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</si>
  <si>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</si>
  <si>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</si>
  <si>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</si>
  <si>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</si>
  <si>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</si>
  <si>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</si>
  <si>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</si>
  <si>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</si>
  <si>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</si>
  <si>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</si>
  <si>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</si>
  <si>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</si>
  <si>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</si>
  <si>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</si>
  <si>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</si>
  <si>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</si>
  <si>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</si>
  <si>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</si>
  <si>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</si>
  <si>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</si>
  <si>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</si>
  <si>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 xml:space="preserve">El  ente territorial cuenta con un manual de procesos y procedimiento </t>
  </si>
  <si>
    <t>Sistema de PQRSD, Correo institucional y atencion personal a la ciudadania</t>
  </si>
  <si>
    <t xml:space="preserve">Se cuenta con un cronograma de auditorias, con indicadores y listas de chequeo </t>
  </si>
  <si>
    <t>Si se hace seguimiento a los planes de mejoramientos suscritos con los entes de control como contraloria Departametal y General de la Republica</t>
  </si>
  <si>
    <t xml:space="preserve">Si se hace la respectiva presentacion de los informes de gestion a las autoridades correspondientes, </t>
  </si>
  <si>
    <t>Si se cuenta con informacion relacionada con el Presupuesto,Talento Humano e infraestructura</t>
  </si>
  <si>
    <t>Le entidad cuenta con un documento interno de adpcion del MECI actuzlizado, mediante Resolucion No. 0031 de 2019</t>
  </si>
  <si>
    <t xml:space="preserve"> El ente territorial cuenta con un código de etica actualizado, adpotado mediente el Resolucion  010 de 2022</t>
  </si>
  <si>
    <t>La entidad  cuenta  con los palnes de capacitacion, incentivos, estrategico de Talento Humano, Plan Anticorrupcion, Plan de Vacantes PETI. Ect.</t>
  </si>
  <si>
    <t>La entidad  cuenta con un manual de funcines, adoptado mediente acto adminsirativo</t>
  </si>
  <si>
    <t>La entidad cuenta con una politica de adminisratcion de riesgos en la cual se establecen los eventos potenciales que pueden afecar el desenpeño institucional, su evaluacion (nivel) y gestion de los mismos.</t>
  </si>
  <si>
    <t>La oficina de Control Interno, realiza dentro del cronograma de actividades y plan de auditoria seguimiento a los posibles riesgos que se pueden presentar para el desarrollo optimo de la gestion institucional</t>
  </si>
  <si>
    <t>La oficina de Control Interno, dentro del proceso de siguimento,  informa de manera periodica a la alta  gerencia de la entidad sobre el desempeño  de las actvidades de gestion de riesgos</t>
  </si>
  <si>
    <t>La oficina de Control Interno, ha logrado idenificar deficiencias en el control de los riesgos por parte de los diferentes lidees de procesos y ha presentado ante la alta gerencia las diferentes propustas de ajustes reuqeridos y necesarios.</t>
  </si>
  <si>
    <t xml:space="preserve">La oficina de control realiza sesiones de trabajo con los diferentes lideres de procesos con el fin de exponer  los problemas o riesgos presentados y proponer acciones par su solucion </t>
  </si>
  <si>
    <t>Existe requerimiento para realizar dicha accion</t>
  </si>
  <si>
    <t>La oficina de Control Interno, ha logrado idenificar deficiencias en el control de los riesgos por parte de los diferentes lidees de procesos y ha presentado ante la alta gerencia las diferentes propustas de ajustes reuqeridos como tambien las respectivas acciones de mejoras.</t>
  </si>
  <si>
    <t xml:space="preserve">La entidad cuenta con una politica de adminisratcion de riesgos en la cual se establecen los mecanismos de verificacion de mitigacion de riesgos y ceunta con planes de contigencia para subsanar las consecuencias ue se puedan presentar  </t>
  </si>
  <si>
    <t>La entidad cuenta con un comité de Bienestar Social para los servidores publicos que laboran en ella</t>
  </si>
  <si>
    <t>https://www.ceminsa.gov.co/transparencia/plan-anticorrupcion-y-de-atencion-al-ciudadano/</t>
  </si>
  <si>
    <t>La oficina de control Interno de la entidad se encuentra debidamente registrado en la plataforma SACI de la Contraloria General</t>
  </si>
  <si>
    <t xml:space="preserve">Existe en la entidad equipo de comunicaciones y de las tecnologias que se encargan y son responsables de la informacion institucional </t>
  </si>
  <si>
    <t>La entidad esta en proceso de elaboracion de la matriz de comunicación en la cual se establece o identifica la informacion que se produce en el marco de la gestion dirigido a la ciudadania, organismos de control entre otros</t>
  </si>
  <si>
    <t>La entidad esta en proceso de implementacion de los  lineamientos para el tratamiento de la informacion de carácter reservado.</t>
  </si>
  <si>
    <t>La entidad esta en proceso de adecuacion de espacios estructurales para el soporte de los distintos proceso de informacion</t>
  </si>
  <si>
    <t xml:space="preserve">El comité municipal de auditoria realiza segumienito y supervision al sistema de control interno isntitucional </t>
  </si>
  <si>
    <t>Planes de mejoramiento para subsanar las deficinecias en los ejercicios de evaluacion, seguimiento o auditorias</t>
  </si>
  <si>
    <t>Mediante el acto administrativo Resolucion No. 0128 de 2022</t>
  </si>
  <si>
    <t>La oficina de Control Interno, ha logrado idenificar  los riesgos  y harealizados las actividades necesarias para evitar que estos obstaculicen el cumplimenito de los objetivos institucionales  presentado ante la alta gerencia las diferentes propustas de ajustes reuqeridos y necesarios..</t>
  </si>
  <si>
    <t>La oficina de Control Interno, ha logrado idenificar  los riesgos  y harealizados las actividades necesarias para evitar que estos obstaculicen el cumplimenito de los objetivos institucionales  presentado ante la alta gerencia las diferentes propustas de ajustes reuqeridos y necesarios.</t>
  </si>
  <si>
    <t>CENTRO MATERNO INFANTIL DE SABANALARGA ATLANTICO "CEMINSA"</t>
  </si>
  <si>
    <t>Las lineas de defensa se tienen establecidas, estas son ejercidas por cada uno de los lideres de procesos, necesitandose que se encuentren integradas y que cada una de las lineas tenga un mayor compromiso con respecto al rol desempeñado en la entidad</t>
  </si>
  <si>
    <t>Como es de conocimiento para todos la declaratoria de pandemia nos ha afectado en el funcionamiento, a pesar de esto la entidad con esta limitación no se handetenido y a presentado avances en la mejora de los controles internos</t>
  </si>
  <si>
    <t>FORTALEZAS. La entidad tiene segregadas en los diferentes lideres de procesos las actividades de control lo cual le ha permitido reducir los niveles de riesgo
DEBILIDADES. Se hace necesario desarrollar mayores controles
sobre TI</t>
  </si>
  <si>
    <t>FORTALEZAS La comunicación que los entes externos es fluida, se tiene un inventario de los diferentes informes que se tienen que presentar tanto a nivel interno como a las entidades de control y vigilancia, en la página web de la entidad se publica la información.
DEBILIDADES. La pagina Web que dispone la entidad debe ser más amigable y de fácil manejo</t>
  </si>
  <si>
    <t>FORTALEZAS. El Talento Humano en su gran mayoría se encuentra comprometido con las actividades de monitoreo de los procesos que se adelantan en la entidad</t>
  </si>
  <si>
    <t>FORTALEZAS. La entidad anualmente diseña y publica su Mapa de Riesgo de corrupción.
FORTALEZAS. Se  hace periódicamente el seguimiento al Mapa de Riesgo.</t>
  </si>
  <si>
    <t xml:space="preserve">FORTALEZA: La entidad cuenta con planes estratégicos que le permiten fortalecer los diferentes procesos con que cuenta la entidad, manteniendo un ambiente de control.
FORTALEZA: Integración de cada uno de los procesos, mayor seguimiento y evaluación a los controles establecidos por las diferentes  líneas de defensa </t>
  </si>
  <si>
    <t>El sistema de control interno en la entidad,  ha mostrado compromiso con el buen desempeño de los diferentes componentes que hacen parte del MECI,  es efectivo teniendo en cuenta que los que objetivos evaluados algunas actividades estan diseñadas, otras estan en proceso de diseño, los controles de las actividades se encuentran funcionando pero presentan algunas falencias.</t>
  </si>
  <si>
    <t xml:space="preserve">La ESE Ceminsa , cuenta con un Organigrama, en donde consta con estructura organizacional </t>
  </si>
  <si>
    <t>ENERO -JUNIO DE 2025</t>
  </si>
  <si>
    <t xml:space="preserve"> La entidad esta en proceso de creacion de comision de personal dentro de la misma ya que no cuentan con la estructura organica para llevar a cabo proceso, toda vez que solo existe un solo funcionario que se encuentra en carrera administrativa. La entidad se encuentra en proceso de adpcion de Ealuacion de Desempeño Laboral, a traves del sistema estandar establecido por la CNSC, se esta a la espera de la asignacion de usuario y contraseña para el ingreso del aplicativo   </t>
  </si>
  <si>
    <t xml:space="preserve">Resolucion No. 0092 de 2024, nombramiento en Provisionalidad  </t>
  </si>
  <si>
    <t>En el periodo evaluado, no se dio proceso de desvinculacion</t>
  </si>
  <si>
    <t>Reglamento Interno para Rendicion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</si>
</sst>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8"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20">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7" fillId="4" borderId="0" xfId="0" applyFont="1" applyFill="1" applyAlignment="1">
      <alignment horizontal="center"/>
    </xf>
    <xf numFmtId="0" fontId="0" fillId="4" borderId="21" xfId="0" applyFill="1" applyBorder="1"/>
    <xf numFmtId="164" fontId="7" fillId="4" borderId="0" xfId="0" applyNumberFormat="1" applyFont="1" applyFill="1" applyAlignment="1">
      <alignment horizontal="center"/>
    </xf>
    <xf numFmtId="0" fontId="8" fillId="4" borderId="0" xfId="0" applyFont="1" applyFill="1" applyAlignment="1">
      <alignment vertical="center"/>
    </xf>
    <xf numFmtId="0" fontId="10" fillId="4" borderId="0" xfId="0" applyFont="1" applyFill="1" applyAlignment="1">
      <alignment horizontal="center" vertical="center"/>
    </xf>
    <xf numFmtId="0" fontId="11" fillId="4" borderId="0" xfId="0" applyFont="1" applyFill="1"/>
    <xf numFmtId="0" fontId="9" fillId="4" borderId="0" xfId="0" applyFont="1" applyFill="1" applyAlignment="1">
      <alignment horizontal="center" vertical="center"/>
    </xf>
    <xf numFmtId="0" fontId="2" fillId="4" borderId="30" xfId="0" applyFont="1" applyFill="1" applyBorder="1" applyAlignment="1">
      <alignment horizontal="center" vertical="center"/>
    </xf>
    <xf numFmtId="0" fontId="2" fillId="4" borderId="0" xfId="0" applyFont="1" applyFill="1" applyAlignment="1">
      <alignment horizontal="center" vertical="center"/>
    </xf>
    <xf numFmtId="0" fontId="12" fillId="4" borderId="0" xfId="0" applyFont="1" applyFill="1" applyAlignment="1">
      <alignment wrapText="1"/>
    </xf>
    <xf numFmtId="0" fontId="13" fillId="4" borderId="0" xfId="0" applyFont="1" applyFill="1" applyAlignment="1">
      <alignment wrapText="1"/>
    </xf>
    <xf numFmtId="0" fontId="5" fillId="0" borderId="0" xfId="0" applyFont="1" applyAlignment="1">
      <alignment vertical="center"/>
    </xf>
    <xf numFmtId="9" fontId="2" fillId="0" borderId="0" xfId="0" applyNumberFormat="1" applyFont="1" applyAlignment="1">
      <alignment vertical="center"/>
    </xf>
    <xf numFmtId="0" fontId="2" fillId="4" borderId="21" xfId="0" applyFont="1" applyFill="1" applyBorder="1" applyAlignment="1">
      <alignment vertical="center"/>
    </xf>
    <xf numFmtId="0" fontId="2" fillId="4" borderId="0" xfId="0" applyFont="1" applyFill="1" applyAlignment="1">
      <alignment vertical="center"/>
    </xf>
    <xf numFmtId="0" fontId="0" fillId="0" borderId="3" xfId="0" applyBorder="1"/>
    <xf numFmtId="0" fontId="5" fillId="4" borderId="0" xfId="0" applyFont="1" applyFill="1" applyAlignment="1">
      <alignment vertical="center"/>
    </xf>
    <xf numFmtId="0" fontId="2" fillId="4" borderId="0" xfId="0" applyFont="1" applyFill="1" applyAlignment="1">
      <alignment horizontal="left" vertical="center"/>
    </xf>
    <xf numFmtId="0" fontId="15" fillId="4" borderId="0" xfId="0" applyFont="1" applyFill="1" applyAlignment="1">
      <alignment vertical="center"/>
    </xf>
    <xf numFmtId="0" fontId="16" fillId="4" borderId="0" xfId="0" applyFont="1" applyFill="1"/>
    <xf numFmtId="0" fontId="0" fillId="4" borderId="34" xfId="0" applyFill="1" applyBorder="1"/>
    <xf numFmtId="0" fontId="0" fillId="4" borderId="35" xfId="0" applyFill="1" applyBorder="1"/>
    <xf numFmtId="0" fontId="0" fillId="4" borderId="36" xfId="0" applyFill="1" applyBorder="1"/>
    <xf numFmtId="0" fontId="20" fillId="0" borderId="0" xfId="0" applyFont="1" applyAlignment="1">
      <alignment horizontal="center" wrapText="1"/>
    </xf>
    <xf numFmtId="0" fontId="5" fillId="4" borderId="0" xfId="0" applyFont="1" applyFill="1" applyAlignment="1">
      <alignment horizontal="center" vertical="center" wrapText="1"/>
    </xf>
    <xf numFmtId="0" fontId="4" fillId="4" borderId="0" xfId="0" applyFont="1" applyFill="1"/>
    <xf numFmtId="0" fontId="5" fillId="4" borderId="0" xfId="0" applyFont="1" applyFill="1" applyAlignment="1">
      <alignment horizontal="left" vertical="center"/>
    </xf>
    <xf numFmtId="9" fontId="5" fillId="4" borderId="0" xfId="0" applyNumberFormat="1" applyFont="1" applyFill="1" applyAlignment="1">
      <alignment horizontal="center" vertical="center"/>
    </xf>
    <xf numFmtId="0" fontId="4" fillId="4" borderId="0" xfId="0" applyFont="1" applyFill="1" applyAlignment="1">
      <alignment horizontal="left"/>
    </xf>
    <xf numFmtId="0" fontId="22" fillId="0" borderId="0" xfId="2" applyFont="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xf numFmtId="0" fontId="26" fillId="4" borderId="59" xfId="3" applyFont="1" applyFill="1" applyBorder="1" applyAlignment="1">
      <alignment vertical="top" wrapText="1"/>
    </xf>
    <xf numFmtId="0" fontId="26" fillId="4" borderId="0" xfId="3" applyFont="1" applyFill="1" applyAlignment="1">
      <alignment vertical="top" wrapText="1"/>
    </xf>
    <xf numFmtId="0" fontId="26" fillId="4" borderId="60" xfId="3" applyFont="1" applyFill="1" applyBorder="1" applyAlignment="1">
      <alignment vertical="top" wrapText="1"/>
    </xf>
    <xf numFmtId="0" fontId="26" fillId="4" borderId="59" xfId="3" applyFont="1" applyFill="1" applyBorder="1" applyAlignment="1">
      <alignment horizontal="left" vertical="top"/>
    </xf>
    <xf numFmtId="0" fontId="26" fillId="4" borderId="60" xfId="3" applyFont="1" applyFill="1" applyBorder="1" applyAlignment="1">
      <alignment horizontal="left" vertical="top"/>
    </xf>
    <xf numFmtId="0" fontId="26" fillId="4" borderId="59" xfId="3" applyFont="1" applyFill="1" applyBorder="1"/>
    <xf numFmtId="0" fontId="34" fillId="4" borderId="0" xfId="4" applyFont="1" applyFill="1" applyAlignment="1">
      <alignment horizontal="left" vertical="top" wrapText="1" readingOrder="1"/>
    </xf>
    <xf numFmtId="0" fontId="26" fillId="4" borderId="60" xfId="3" applyFont="1" applyFill="1" applyBorder="1"/>
    <xf numFmtId="0" fontId="26" fillId="4" borderId="72" xfId="3" applyFont="1" applyFill="1" applyBorder="1"/>
    <xf numFmtId="0" fontId="26" fillId="4" borderId="73" xfId="3" applyFont="1" applyFill="1" applyBorder="1"/>
    <xf numFmtId="0" fontId="26" fillId="4" borderId="74" xfId="3" applyFont="1" applyFill="1" applyBorder="1"/>
    <xf numFmtId="0" fontId="34" fillId="4" borderId="0" xfId="0" applyFont="1" applyFill="1" applyAlignment="1">
      <alignment horizontal="left" vertical="center" wrapText="1"/>
    </xf>
    <xf numFmtId="0" fontId="35" fillId="4" borderId="0" xfId="0" applyFont="1" applyFill="1" applyAlignment="1">
      <alignment horizontal="left" vertical="top" wrapText="1"/>
    </xf>
    <xf numFmtId="0" fontId="26" fillId="4" borderId="0" xfId="3" quotePrefix="1" applyFont="1" applyFill="1" applyAlignment="1">
      <alignment horizontal="left" vertical="center" wrapText="1"/>
    </xf>
    <xf numFmtId="0" fontId="32" fillId="4" borderId="0" xfId="3" applyFont="1" applyFill="1" applyAlignment="1">
      <alignment horizontal="left" vertical="center" wrapText="1"/>
    </xf>
    <xf numFmtId="0" fontId="26" fillId="4" borderId="0" xfId="3" applyFont="1" applyFill="1" applyAlignment="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0" borderId="0" xfId="0" applyFont="1" applyAlignment="1">
      <alignment vertical="top"/>
    </xf>
    <xf numFmtId="0" fontId="8" fillId="0" borderId="0" xfId="0" applyFont="1"/>
    <xf numFmtId="0" fontId="44" fillId="9" borderId="11" xfId="0" applyFont="1" applyFill="1" applyBorder="1" applyAlignment="1">
      <alignment horizontal="center" vertical="top" wrapText="1"/>
    </xf>
    <xf numFmtId="49" fontId="45" fillId="5" borderId="7" xfId="0" applyNumberFormat="1"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center" vertical="center" wrapText="1"/>
    </xf>
    <xf numFmtId="0" fontId="47" fillId="0" borderId="3" xfId="0" applyFont="1" applyBorder="1" applyAlignment="1">
      <alignment horizontal="left" vertical="center" wrapText="1"/>
    </xf>
    <xf numFmtId="0" fontId="46" fillId="0" borderId="3" xfId="0" applyFont="1" applyBorder="1" applyAlignment="1">
      <alignment horizontal="left" vertical="center" wrapText="1"/>
    </xf>
    <xf numFmtId="0" fontId="46" fillId="0" borderId="4" xfId="0" applyFont="1" applyBorder="1" applyAlignment="1">
      <alignment horizontal="center" vertical="center" wrapText="1"/>
    </xf>
    <xf numFmtId="0" fontId="46" fillId="0" borderId="4" xfId="0" applyFont="1" applyBorder="1" applyAlignment="1">
      <alignment horizontal="left" vertical="center" wrapText="1"/>
    </xf>
    <xf numFmtId="0" fontId="9" fillId="13" borderId="3" xfId="0" applyFont="1" applyFill="1" applyBorder="1" applyAlignment="1">
      <alignment horizontal="center" vertical="center" wrapText="1"/>
    </xf>
    <xf numFmtId="0" fontId="50" fillId="0" borderId="0" xfId="0" applyFont="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Border="1" applyAlignment="1">
      <alignment horizontal="center" vertical="center"/>
    </xf>
    <xf numFmtId="0" fontId="53" fillId="0" borderId="0" xfId="0" applyFont="1" applyAlignment="1">
      <alignment horizontal="center"/>
    </xf>
    <xf numFmtId="0" fontId="52" fillId="12" borderId="31" xfId="0" applyFont="1" applyFill="1" applyBorder="1" applyAlignment="1">
      <alignment horizontal="center" vertical="center" wrapText="1"/>
    </xf>
    <xf numFmtId="0" fontId="42" fillId="0" borderId="0" xfId="0" applyFont="1" applyAlignment="1">
      <alignment horizontal="center" vertical="center" wrapText="1"/>
    </xf>
    <xf numFmtId="0" fontId="25" fillId="4" borderId="0" xfId="2" applyFont="1" applyFill="1" applyAlignment="1">
      <alignment vertical="center" wrapText="1"/>
    </xf>
    <xf numFmtId="0" fontId="35" fillId="4" borderId="0" xfId="2" applyFont="1" applyFill="1" applyAlignment="1">
      <alignment vertical="center" wrapText="1"/>
    </xf>
    <xf numFmtId="0" fontId="36" fillId="0" borderId="0" xfId="0" applyFont="1" applyAlignment="1" applyProtection="1">
      <alignment horizontal="center" vertical="top"/>
      <protection hidden="1"/>
    </xf>
    <xf numFmtId="0" fontId="38" fillId="0" borderId="79" xfId="0" applyFont="1" applyBorder="1" applyAlignment="1" applyProtection="1">
      <alignment horizontal="center" vertical="center" wrapText="1"/>
      <protection hidden="1"/>
    </xf>
    <xf numFmtId="0" fontId="8" fillId="0" borderId="0" xfId="0" applyFont="1" applyAlignment="1" applyProtection="1">
      <alignment horizontal="center" vertical="top"/>
      <protection hidden="1"/>
    </xf>
    <xf numFmtId="0" fontId="39" fillId="0" borderId="9" xfId="0" applyFont="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80" xfId="0" applyFont="1" applyBorder="1" applyAlignment="1" applyProtection="1">
      <alignment horizontal="center" vertical="center" wrapText="1"/>
      <protection hidden="1"/>
    </xf>
    <xf numFmtId="0" fontId="8" fillId="0" borderId="0" xfId="0" applyFont="1" applyAlignment="1" applyProtection="1">
      <alignment vertical="top"/>
      <protection hidden="1"/>
    </xf>
    <xf numFmtId="0" fontId="43" fillId="0" borderId="2" xfId="0" applyFont="1" applyBorder="1" applyAlignment="1" applyProtection="1">
      <alignment horizontal="center" vertical="center" wrapText="1"/>
      <protection locked="0"/>
    </xf>
    <xf numFmtId="0" fontId="36" fillId="0" borderId="79" xfId="0" applyFont="1" applyBorder="1" applyAlignment="1" applyProtection="1">
      <alignment horizontal="left" vertical="center" wrapText="1"/>
      <protection locked="0"/>
    </xf>
    <xf numFmtId="0" fontId="43" fillId="0" borderId="3" xfId="0" applyFont="1" applyBorder="1" applyAlignment="1" applyProtection="1">
      <alignment horizontal="center" vertical="center" wrapText="1"/>
      <protection locked="0"/>
    </xf>
    <xf numFmtId="0" fontId="7" fillId="0" borderId="9" xfId="0" applyFont="1" applyBorder="1" applyAlignment="1" applyProtection="1">
      <alignment horizontal="left" vertical="center" wrapText="1"/>
      <protection locked="0"/>
    </xf>
    <xf numFmtId="0" fontId="36" fillId="0" borderId="9" xfId="0" applyFont="1" applyBorder="1" applyAlignment="1" applyProtection="1">
      <alignment horizontal="left" vertical="center" wrapText="1"/>
      <protection locked="0"/>
    </xf>
    <xf numFmtId="0" fontId="43" fillId="0" borderId="4" xfId="0" applyFont="1" applyBorder="1" applyAlignment="1" applyProtection="1">
      <alignment horizontal="center" vertical="center" wrapText="1"/>
      <protection locked="0"/>
    </xf>
    <xf numFmtId="0" fontId="36" fillId="0" borderId="80" xfId="0" applyFont="1" applyBorder="1" applyAlignment="1" applyProtection="1">
      <alignment horizontal="left" vertical="center" wrapText="1"/>
      <protection locked="0"/>
    </xf>
    <xf numFmtId="0" fontId="19" fillId="2" borderId="82" xfId="2" applyFont="1" applyFill="1" applyBorder="1" applyAlignment="1">
      <alignment horizontal="center" vertical="center"/>
    </xf>
    <xf numFmtId="0" fontId="19" fillId="2" borderId="82" xfId="2" applyFont="1" applyFill="1" applyBorder="1" applyAlignment="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4" xfId="0" applyFont="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0" fillId="0" borderId="85" xfId="0" applyFont="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0" fillId="0" borderId="86" xfId="0" applyFont="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0" fillId="0" borderId="5" xfId="0" applyFont="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0" fillId="0" borderId="6" xfId="0" applyFont="1" applyBorder="1" applyAlignment="1" applyProtection="1">
      <alignment vertical="center" wrapText="1"/>
      <protection hidden="1"/>
    </xf>
    <xf numFmtId="0" fontId="40" fillId="0" borderId="3" xfId="0" applyFont="1" applyBorder="1" applyAlignment="1" applyProtection="1">
      <alignment vertical="center" wrapText="1"/>
      <protection hidden="1"/>
    </xf>
    <xf numFmtId="0" fontId="40" fillId="0" borderId="7" xfId="0" applyFont="1" applyBorder="1" applyAlignment="1" applyProtection="1">
      <alignment vertical="center" wrapText="1"/>
      <protection hidden="1"/>
    </xf>
    <xf numFmtId="0" fontId="48"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6" xfId="0" applyNumberFormat="1" applyFont="1" applyFill="1" applyBorder="1" applyAlignment="1" applyProtection="1">
      <alignment horizontal="center" vertical="center"/>
      <protection hidden="1"/>
    </xf>
    <xf numFmtId="0" fontId="42" fillId="0" borderId="3" xfId="0" applyFont="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2" xfId="0" applyNumberFormat="1" applyFont="1" applyFill="1" applyBorder="1" applyAlignment="1" applyProtection="1">
      <alignment horizontal="center" vertical="center" wrapText="1"/>
      <protection locked="0"/>
    </xf>
    <xf numFmtId="49" fontId="55" fillId="4" borderId="3" xfId="0" applyNumberFormat="1" applyFont="1" applyFill="1" applyBorder="1" applyAlignment="1" applyProtection="1">
      <alignment horizontal="center" vertical="center" wrapText="1"/>
      <protection locked="0"/>
    </xf>
    <xf numFmtId="49" fontId="55"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44" fillId="9" borderId="14"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0" fontId="36" fillId="4" borderId="9" xfId="0" applyFont="1" applyFill="1" applyBorder="1" applyAlignment="1" applyProtection="1">
      <alignment horizontal="center" vertical="center" wrapText="1"/>
      <protection locked="0"/>
    </xf>
    <xf numFmtId="0" fontId="26" fillId="4" borderId="59" xfId="3" applyFont="1" applyFill="1" applyBorder="1" applyAlignment="1">
      <alignment horizontal="left" vertical="top" wrapText="1"/>
    </xf>
    <xf numFmtId="0" fontId="26" fillId="4" borderId="0" xfId="3" applyFont="1" applyFill="1" applyAlignment="1">
      <alignment horizontal="left" vertical="top" wrapText="1"/>
    </xf>
    <xf numFmtId="0" fontId="26" fillId="4" borderId="60" xfId="3" applyFont="1" applyFill="1" applyBorder="1" applyAlignment="1">
      <alignment horizontal="left" vertical="top" wrapText="1"/>
    </xf>
    <xf numFmtId="0" fontId="26" fillId="4" borderId="0" xfId="3" applyFont="1" applyFill="1"/>
    <xf numFmtId="0" fontId="34" fillId="4" borderId="77" xfId="0" applyFont="1" applyFill="1" applyBorder="1" applyAlignment="1">
      <alignment horizontal="left" vertical="center" wrapText="1"/>
    </xf>
    <xf numFmtId="0" fontId="34" fillId="4" borderId="78" xfId="0" applyFont="1" applyFill="1" applyBorder="1" applyAlignment="1">
      <alignment horizontal="left" vertical="center" wrapText="1"/>
    </xf>
    <xf numFmtId="0" fontId="35" fillId="0" borderId="69" xfId="3" applyFont="1" applyBorder="1" applyAlignment="1">
      <alignment horizontal="left" vertical="center" wrapText="1"/>
    </xf>
    <xf numFmtId="0" fontId="35" fillId="0" borderId="70" xfId="3" applyFont="1" applyBorder="1" applyAlignment="1">
      <alignment horizontal="left" vertical="center" wrapText="1"/>
    </xf>
    <xf numFmtId="0" fontId="17" fillId="2" borderId="44" xfId="2" applyFont="1" applyFill="1" applyBorder="1" applyAlignment="1">
      <alignment horizontal="center" vertical="center" wrapText="1"/>
    </xf>
    <xf numFmtId="0" fontId="17" fillId="2" borderId="45" xfId="2" applyFont="1" applyFill="1" applyBorder="1" applyAlignment="1">
      <alignment horizontal="center" vertical="center" wrapText="1"/>
    </xf>
    <xf numFmtId="0" fontId="25" fillId="7" borderId="50" xfId="2" applyFont="1" applyFill="1" applyBorder="1" applyAlignment="1">
      <alignment horizontal="center" vertical="center"/>
    </xf>
    <xf numFmtId="0" fontId="25" fillId="7" borderId="51" xfId="2" applyFont="1" applyFill="1" applyBorder="1" applyAlignment="1">
      <alignment horizontal="center" vertical="center"/>
    </xf>
    <xf numFmtId="0" fontId="26" fillId="0" borderId="56" xfId="2" applyFont="1" applyBorder="1" applyAlignment="1">
      <alignment horizontal="justify" vertical="center" wrapText="1"/>
    </xf>
    <xf numFmtId="0" fontId="26" fillId="0" borderId="57" xfId="2" applyFont="1" applyBorder="1" applyAlignment="1">
      <alignment horizontal="justify" vertical="center" wrapText="1"/>
    </xf>
    <xf numFmtId="0" fontId="25" fillId="8" borderId="52" xfId="2" applyFont="1" applyFill="1" applyBorder="1" applyAlignment="1">
      <alignment horizontal="center" vertical="center" wrapText="1"/>
    </xf>
    <xf numFmtId="0" fontId="25" fillId="8" borderId="53" xfId="2" applyFont="1" applyFill="1" applyBorder="1" applyAlignment="1">
      <alignment horizontal="center" vertical="center"/>
    </xf>
    <xf numFmtId="0" fontId="26" fillId="0" borderId="53" xfId="2" applyFont="1" applyBorder="1" applyAlignment="1">
      <alignment horizontal="justify" vertical="center" wrapText="1"/>
    </xf>
    <xf numFmtId="0" fontId="26" fillId="0" borderId="54" xfId="2" applyFont="1" applyBorder="1" applyAlignment="1">
      <alignment horizontal="justify" vertical="center" wrapText="1"/>
    </xf>
    <xf numFmtId="0" fontId="37" fillId="4" borderId="71" xfId="2" applyFont="1" applyFill="1" applyBorder="1" applyAlignment="1">
      <alignment horizontal="center" vertical="center" wrapText="1"/>
    </xf>
    <xf numFmtId="0" fontId="24" fillId="4" borderId="71" xfId="2" applyFont="1" applyFill="1" applyBorder="1" applyAlignment="1">
      <alignment horizontal="center" vertical="center" wrapText="1"/>
    </xf>
    <xf numFmtId="0" fontId="17" fillId="2" borderId="46" xfId="2" applyFont="1" applyFill="1" applyBorder="1" applyAlignment="1">
      <alignment horizontal="center" vertical="center" wrapText="1"/>
    </xf>
    <xf numFmtId="0" fontId="25" fillId="14" borderId="47" xfId="2" applyFont="1" applyFill="1" applyBorder="1" applyAlignment="1">
      <alignment horizontal="center" vertical="center"/>
    </xf>
    <xf numFmtId="0" fontId="25" fillId="14" borderId="48" xfId="2" applyFont="1" applyFill="1" applyBorder="1" applyAlignment="1">
      <alignment horizontal="center" vertical="center"/>
    </xf>
    <xf numFmtId="0" fontId="26" fillId="0" borderId="48" xfId="2" applyFont="1" applyBorder="1" applyAlignment="1">
      <alignment horizontal="justify" vertical="center" wrapText="1"/>
    </xf>
    <xf numFmtId="0" fontId="26" fillId="0" borderId="49" xfId="2" applyFont="1" applyBorder="1" applyAlignment="1">
      <alignment horizontal="justify" vertical="center" wrapText="1"/>
    </xf>
    <xf numFmtId="0" fontId="34" fillId="4" borderId="75" xfId="4" applyFont="1" applyFill="1" applyBorder="1" applyAlignment="1">
      <alignment horizontal="left" vertical="center" wrapText="1" readingOrder="1"/>
    </xf>
    <xf numFmtId="0" fontId="34" fillId="4" borderId="76" xfId="4" applyFont="1" applyFill="1" applyBorder="1" applyAlignment="1">
      <alignment horizontal="left" vertical="center" wrapText="1" readingOrder="1"/>
    </xf>
    <xf numFmtId="0" fontId="35" fillId="0" borderId="65" xfId="3" applyFont="1" applyBorder="1" applyAlignment="1">
      <alignment horizontal="left" vertical="center" wrapText="1"/>
    </xf>
    <xf numFmtId="0" fontId="35" fillId="0" borderId="66" xfId="3" applyFont="1" applyBorder="1" applyAlignment="1">
      <alignment horizontal="left" vertical="center" wrapText="1"/>
    </xf>
    <xf numFmtId="0" fontId="34" fillId="4" borderId="67" xfId="0" applyFont="1" applyFill="1" applyBorder="1" applyAlignment="1">
      <alignment horizontal="left" vertical="center" wrapText="1"/>
    </xf>
    <xf numFmtId="0" fontId="34" fillId="4" borderId="68" xfId="0" applyFont="1" applyFill="1" applyBorder="1" applyAlignment="1">
      <alignment horizontal="left" vertical="center" wrapText="1"/>
    </xf>
    <xf numFmtId="0" fontId="35" fillId="0" borderId="69" xfId="3" applyFont="1" applyBorder="1" applyAlignment="1">
      <alignment horizontal="left" vertical="top" wrapText="1"/>
    </xf>
    <xf numFmtId="0" fontId="35" fillId="0" borderId="70" xfId="3" applyFont="1" applyBorder="1" applyAlignment="1">
      <alignment horizontal="left" vertical="top"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8" xfId="3" applyFont="1" applyBorder="1" applyAlignment="1">
      <alignment horizontal="center" vertical="center" wrapText="1"/>
    </xf>
    <xf numFmtId="0" fontId="26" fillId="0" borderId="59" xfId="3" quotePrefix="1" applyFont="1" applyBorder="1" applyAlignment="1">
      <alignment horizontal="left" vertical="center" wrapText="1"/>
    </xf>
    <xf numFmtId="0" fontId="26" fillId="0" borderId="0" xfId="3" quotePrefix="1" applyFont="1" applyAlignment="1">
      <alignment horizontal="left" vertical="center" wrapText="1"/>
    </xf>
    <xf numFmtId="0" fontId="26" fillId="0" borderId="60" xfId="3" quotePrefix="1" applyFont="1" applyBorder="1" applyAlignment="1">
      <alignment horizontal="left" vertical="center" wrapText="1"/>
    </xf>
    <xf numFmtId="0" fontId="31" fillId="4" borderId="59" xfId="3" quotePrefix="1" applyFont="1" applyFill="1" applyBorder="1" applyAlignment="1">
      <alignment horizontal="left" vertical="top" wrapText="1"/>
    </xf>
    <xf numFmtId="0" fontId="25" fillId="4" borderId="0" xfId="3" quotePrefix="1" applyFont="1" applyFill="1" applyAlignment="1">
      <alignment horizontal="left" vertical="top" wrapText="1"/>
    </xf>
    <xf numFmtId="0" fontId="25" fillId="4" borderId="60" xfId="3" quotePrefix="1" applyFont="1" applyFill="1" applyBorder="1" applyAlignment="1">
      <alignment horizontal="left" vertical="top" wrapText="1"/>
    </xf>
    <xf numFmtId="0" fontId="26" fillId="4" borderId="59" xfId="3" quotePrefix="1" applyFont="1" applyFill="1" applyBorder="1" applyAlignment="1">
      <alignment horizontal="left" vertical="top" wrapText="1"/>
    </xf>
    <xf numFmtId="0" fontId="26" fillId="4" borderId="0" xfId="3" quotePrefix="1" applyFont="1" applyFill="1" applyAlignment="1">
      <alignment horizontal="left" vertical="top" wrapText="1"/>
    </xf>
    <xf numFmtId="0" fontId="26" fillId="4" borderId="60" xfId="3" quotePrefix="1" applyFont="1" applyFill="1" applyBorder="1" applyAlignment="1">
      <alignment horizontal="left" vertical="top" wrapText="1"/>
    </xf>
    <xf numFmtId="0" fontId="34" fillId="16" borderId="61" xfId="4" applyFont="1" applyFill="1" applyBorder="1" applyAlignment="1">
      <alignment horizontal="center" vertical="center" wrapText="1"/>
    </xf>
    <xf numFmtId="0" fontId="34" fillId="16" borderId="62" xfId="4" applyFont="1" applyFill="1" applyBorder="1" applyAlignment="1">
      <alignment horizontal="center" vertical="center" wrapText="1"/>
    </xf>
    <xf numFmtId="0" fontId="34" fillId="16" borderId="63" xfId="3" applyFont="1" applyFill="1" applyBorder="1" applyAlignment="1">
      <alignment horizontal="center" vertical="center"/>
    </xf>
    <xf numFmtId="0" fontId="34" fillId="16" borderId="64" xfId="3" applyFont="1" applyFill="1" applyBorder="1" applyAlignment="1">
      <alignment horizontal="center" vertical="center"/>
    </xf>
    <xf numFmtId="49" fontId="45" fillId="5" borderId="0" xfId="0" applyNumberFormat="1" applyFont="1" applyFill="1" applyAlignment="1">
      <alignment horizontal="center" vertical="center"/>
    </xf>
    <xf numFmtId="0" fontId="44" fillId="11" borderId="11"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13" xfId="0" applyFont="1" applyFill="1" applyBorder="1" applyAlignment="1">
      <alignment horizontal="center" vertical="center" wrapText="1"/>
    </xf>
    <xf numFmtId="49" fontId="44" fillId="11" borderId="14" xfId="0" applyNumberFormat="1" applyFont="1" applyFill="1" applyBorder="1" applyAlignment="1">
      <alignment horizontal="center" vertical="center" wrapText="1"/>
    </xf>
    <xf numFmtId="49" fontId="44" fillId="11" borderId="15" xfId="0" applyNumberFormat="1" applyFont="1" applyFill="1" applyBorder="1" applyAlignment="1">
      <alignment horizontal="center" vertical="center" wrapText="1"/>
    </xf>
    <xf numFmtId="49" fontId="44" fillId="11" borderId="16" xfId="0" applyNumberFormat="1"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13" xfId="0"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9" borderId="15" xfId="0" applyNumberFormat="1" applyFont="1" applyFill="1" applyBorder="1" applyAlignment="1">
      <alignment horizontal="center" vertical="center" wrapText="1"/>
    </xf>
    <xf numFmtId="49" fontId="44" fillId="9" borderId="16" xfId="0" applyNumberFormat="1"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3" xfId="0"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49" fontId="8" fillId="10" borderId="15"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44" fillId="10" borderId="12" xfId="0" applyFont="1" applyFill="1" applyBorder="1" applyAlignment="1">
      <alignment horizontal="center" vertical="center" wrapText="1"/>
    </xf>
    <xf numFmtId="0" fontId="44" fillId="10" borderId="13" xfId="0" applyFont="1" applyFill="1" applyBorder="1" applyAlignment="1">
      <alignment horizontal="center" vertical="center" wrapText="1"/>
    </xf>
    <xf numFmtId="0" fontId="44" fillId="9" borderId="6" xfId="0"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6" borderId="12" xfId="0" applyNumberFormat="1" applyFont="1" applyFill="1" applyBorder="1" applyAlignment="1">
      <alignment horizontal="center" vertical="center" wrapText="1"/>
    </xf>
    <xf numFmtId="49" fontId="44" fillId="6" borderId="13"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10" borderId="12"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2" borderId="12"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11" borderId="12"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9" borderId="12" xfId="0" applyNumberFormat="1" applyFont="1" applyFill="1" applyBorder="1" applyAlignment="1">
      <alignment horizontal="center" vertical="center" wrapText="1"/>
    </xf>
    <xf numFmtId="49" fontId="44" fillId="9" borderId="13"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0" fontId="44" fillId="10" borderId="3" xfId="0" applyFont="1" applyFill="1" applyBorder="1" applyAlignment="1">
      <alignment horizontal="center" vertical="center" wrapText="1"/>
    </xf>
    <xf numFmtId="49" fontId="44" fillId="10" borderId="15" xfId="0" applyNumberFormat="1" applyFont="1" applyFill="1" applyBorder="1" applyAlignment="1">
      <alignment horizontal="center" vertical="center" wrapText="1"/>
    </xf>
    <xf numFmtId="49" fontId="44" fillId="2" borderId="14"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16" xfId="0" applyNumberFormat="1"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0" fontId="19" fillId="3" borderId="32" xfId="2" applyFont="1" applyFill="1" applyBorder="1" applyAlignment="1">
      <alignment horizontal="center" vertical="center" wrapText="1"/>
    </xf>
    <xf numFmtId="0" fontId="19" fillId="3" borderId="33" xfId="2" applyFont="1" applyFill="1" applyBorder="1" applyAlignment="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lignment horizontal="center" vertical="center" wrapText="1"/>
    </xf>
    <xf numFmtId="0" fontId="19" fillId="2" borderId="83" xfId="2" applyFont="1" applyFill="1" applyBorder="1" applyAlignment="1">
      <alignment horizontal="center" vertical="center" wrapText="1"/>
    </xf>
    <xf numFmtId="0" fontId="19" fillId="2" borderId="38" xfId="2" applyFont="1" applyFill="1" applyBorder="1" applyAlignment="1">
      <alignment horizontal="center" vertical="center" wrapText="1"/>
    </xf>
    <xf numFmtId="0" fontId="19" fillId="2" borderId="39" xfId="2" applyFont="1" applyFill="1" applyBorder="1" applyAlignment="1">
      <alignment horizontal="center" vertical="center" wrapText="1"/>
    </xf>
    <xf numFmtId="0" fontId="19" fillId="2" borderId="40" xfId="2" applyFont="1" applyFill="1" applyBorder="1" applyAlignment="1">
      <alignment horizontal="center" vertical="center" wrapText="1"/>
    </xf>
    <xf numFmtId="0" fontId="19" fillId="2" borderId="42" xfId="2" applyFont="1" applyFill="1" applyBorder="1" applyAlignment="1">
      <alignment horizontal="center" vertical="center" wrapText="1"/>
    </xf>
    <xf numFmtId="0" fontId="19" fillId="2" borderId="41" xfId="2" applyFont="1" applyFill="1" applyBorder="1" applyAlignment="1">
      <alignment horizontal="center" vertical="center" wrapText="1"/>
    </xf>
    <xf numFmtId="0" fontId="19" fillId="2" borderId="43" xfId="2" applyFont="1" applyFill="1" applyBorder="1" applyAlignment="1">
      <alignment horizontal="center" vertical="center" wrapText="1"/>
    </xf>
    <xf numFmtId="9" fontId="41" fillId="0" borderId="87" xfId="0" applyNumberFormat="1" applyFont="1" applyBorder="1" applyAlignment="1" applyProtection="1">
      <alignment horizontal="center" vertical="center"/>
      <protection hidden="1"/>
    </xf>
    <xf numFmtId="9" fontId="41"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1" fillId="4" borderId="87" xfId="0" applyNumberFormat="1" applyFont="1" applyFill="1" applyBorder="1" applyAlignment="1" applyProtection="1">
      <alignment horizontal="center" vertical="center"/>
      <protection hidden="1"/>
    </xf>
    <xf numFmtId="9" fontId="41" fillId="4" borderId="88" xfId="0" applyNumberFormat="1" applyFont="1" applyFill="1" applyBorder="1" applyAlignment="1" applyProtection="1">
      <alignment horizontal="center" vertical="center"/>
      <protection hidden="1"/>
    </xf>
    <xf numFmtId="9" fontId="41"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1"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0" fillId="0" borderId="24"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52" fillId="12" borderId="0" xfId="0" applyFont="1" applyFill="1" applyAlignment="1">
      <alignment horizontal="center" vertical="center" wrapText="1"/>
    </xf>
    <xf numFmtId="0" fontId="57" fillId="0" borderId="24" xfId="0" applyFont="1" applyBorder="1" applyAlignment="1" applyProtection="1">
      <alignment horizontal="center" vertical="center" wrapText="1"/>
      <protection locked="0"/>
    </xf>
    <xf numFmtId="0" fontId="57" fillId="0" borderId="1" xfId="0" applyFont="1" applyBorder="1" applyAlignment="1" applyProtection="1">
      <alignment horizontal="center" vertical="center"/>
      <protection locked="0"/>
    </xf>
    <xf numFmtId="0" fontId="57" fillId="0" borderId="25" xfId="0" applyFont="1" applyBorder="1" applyAlignment="1" applyProtection="1">
      <alignment horizontal="center" vertical="center"/>
      <protection locked="0"/>
    </xf>
    <xf numFmtId="0" fontId="0" fillId="0" borderId="73" xfId="0" applyBorder="1" applyAlignment="1">
      <alignment horizontal="center"/>
    </xf>
    <xf numFmtId="0" fontId="0" fillId="0" borderId="1" xfId="0" applyBorder="1" applyAlignment="1">
      <alignment horizontal="center"/>
    </xf>
    <xf numFmtId="49" fontId="49" fillId="4" borderId="91" xfId="0" applyNumberFormat="1" applyFont="1" applyFill="1" applyBorder="1" applyAlignment="1">
      <alignment horizontal="left" vertical="center" wrapText="1"/>
    </xf>
    <xf numFmtId="49" fontId="49" fillId="4" borderId="3" xfId="0" applyNumberFormat="1" applyFont="1" applyFill="1" applyBorder="1" applyAlignment="1">
      <alignment horizontal="left" vertical="center" wrapText="1"/>
    </xf>
    <xf numFmtId="49" fontId="49" fillId="4" borderId="92"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2" xfId="0" applyNumberFormat="1" applyFont="1" applyFill="1" applyBorder="1" applyAlignment="1" applyProtection="1">
      <alignment horizontal="center" vertical="center"/>
      <protection locked="0"/>
    </xf>
    <xf numFmtId="164" fontId="56" fillId="4" borderId="23"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4"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49" fontId="49" fillId="4" borderId="90" xfId="0" applyNumberFormat="1" applyFont="1" applyFill="1" applyBorder="1" applyAlignment="1">
      <alignment horizontal="left" vertical="center" wrapText="1"/>
    </xf>
    <xf numFmtId="49" fontId="49" fillId="4" borderId="2" xfId="0" applyNumberFormat="1" applyFont="1" applyFill="1" applyBorder="1" applyAlignment="1">
      <alignment horizontal="left" vertical="center" wrapText="1"/>
    </xf>
    <xf numFmtId="49" fontId="0" fillId="4" borderId="2" xfId="0" applyNumberFormat="1" applyFill="1" applyBorder="1" applyAlignment="1" applyProtection="1">
      <alignment horizontal="center" vertical="top" wrapText="1"/>
      <protection locked="0"/>
    </xf>
    <xf numFmtId="49" fontId="0" fillId="4" borderId="84" xfId="0" applyNumberFormat="1" applyFill="1" applyBorder="1" applyAlignment="1" applyProtection="1">
      <alignment horizontal="center" vertical="top" wrapText="1"/>
      <protection locked="0"/>
    </xf>
    <xf numFmtId="49" fontId="0" fillId="4" borderId="3" xfId="0" applyNumberFormat="1" applyFill="1" applyBorder="1" applyAlignment="1" applyProtection="1">
      <alignment horizontal="center" vertical="top" wrapText="1"/>
      <protection locked="0"/>
    </xf>
    <xf numFmtId="49" fontId="0" fillId="4" borderId="85" xfId="0" applyNumberFormat="1" applyFill="1" applyBorder="1" applyAlignment="1" applyProtection="1">
      <alignment horizontal="center" vertical="top" wrapText="1"/>
      <protection locked="0"/>
    </xf>
    <xf numFmtId="49" fontId="0" fillId="4" borderId="4" xfId="0" applyNumberFormat="1" applyFill="1" applyBorder="1" applyAlignment="1" applyProtection="1">
      <alignment horizontal="center" vertical="top" wrapText="1"/>
      <protection locked="0"/>
    </xf>
    <xf numFmtId="49" fontId="0" fillId="4" borderId="86" xfId="0" applyNumberFormat="1" applyFill="1" applyBorder="1" applyAlignment="1" applyProtection="1">
      <alignment horizontal="center" vertical="top" wrapText="1"/>
      <protection locked="0"/>
    </xf>
    <xf numFmtId="0" fontId="36" fillId="4" borderId="9" xfId="0" applyFont="1" applyFill="1" applyBorder="1" applyAlignment="1" applyProtection="1">
      <alignment horizontal="left" vertical="center" wrapText="1"/>
      <protection locked="0"/>
    </xf>
  </cellXfs>
  <cellStyles count="5">
    <cellStyle name="Normal" xfId="0" builtinId="0"/>
    <cellStyle name="Normal - Style1 2" xfId="3" xr:uid="{00000000-0005-0000-0000-000001000000}"/>
    <cellStyle name="Normal 2" xfId="2" xr:uid="{00000000-0005-0000-0000-000002000000}"/>
    <cellStyle name="Normal 2 2" xfId="4" xr:uid="{00000000-0005-0000-0000-000003000000}"/>
    <cellStyle name="Porcentaje" xfId="1" builtinId="5"/>
  </cellStyles>
  <dxfs count="20">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 val="Hoja4"/>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opLeftCell="A13" zoomScale="90" zoomScaleNormal="90" workbookViewId="0">
      <selection activeCell="B6" sqref="B6:H7"/>
    </sheetView>
  </sheetViews>
  <sheetFormatPr baseColWidth="10" defaultColWidth="0" defaultRowHeight="13.8" zeroHeight="1" x14ac:dyDescent="0.3"/>
  <cols>
    <col min="1" max="1" width="3.88671875" style="42" customWidth="1"/>
    <col min="2" max="2" width="15.33203125" style="42" customWidth="1"/>
    <col min="3" max="3" width="17.33203125" style="42" customWidth="1"/>
    <col min="4" max="4" width="28.5546875" style="42" customWidth="1"/>
    <col min="5" max="5" width="12.88671875" style="42" customWidth="1"/>
    <col min="6" max="6" width="47.109375" style="42" customWidth="1"/>
    <col min="7" max="7" width="21.44140625" style="42" customWidth="1"/>
    <col min="8" max="8" width="6.5546875" style="42" customWidth="1"/>
    <col min="9" max="9" width="2.5546875" style="42" customWidth="1"/>
    <col min="10" max="16384" width="11.44140625" style="42" hidden="1"/>
  </cols>
  <sheetData>
    <row r="1" spans="2:8" ht="14.4" thickBot="1" x14ac:dyDescent="0.35"/>
    <row r="2" spans="2:8" ht="73.5" customHeight="1" x14ac:dyDescent="0.3">
      <c r="B2" s="186" t="s">
        <v>0</v>
      </c>
      <c r="C2" s="187"/>
      <c r="D2" s="187"/>
      <c r="E2" s="187"/>
      <c r="F2" s="187"/>
      <c r="G2" s="187"/>
      <c r="H2" s="188"/>
    </row>
    <row r="3" spans="2:8" ht="65.25" customHeight="1" x14ac:dyDescent="0.3">
      <c r="B3" s="189" t="s">
        <v>1</v>
      </c>
      <c r="C3" s="190"/>
      <c r="D3" s="190"/>
      <c r="E3" s="190"/>
      <c r="F3" s="190"/>
      <c r="G3" s="190"/>
      <c r="H3" s="191"/>
    </row>
    <row r="4" spans="2:8" ht="82.5" customHeight="1" x14ac:dyDescent="0.3">
      <c r="B4" s="189"/>
      <c r="C4" s="190"/>
      <c r="D4" s="190"/>
      <c r="E4" s="190"/>
      <c r="F4" s="190"/>
      <c r="G4" s="190"/>
      <c r="H4" s="191"/>
    </row>
    <row r="5" spans="2:8" ht="21.75" customHeight="1" x14ac:dyDescent="0.3">
      <c r="B5" s="192" t="s">
        <v>2</v>
      </c>
      <c r="C5" s="193"/>
      <c r="D5" s="193"/>
      <c r="E5" s="193"/>
      <c r="F5" s="193"/>
      <c r="G5" s="193"/>
      <c r="H5" s="194"/>
    </row>
    <row r="6" spans="2:8" ht="42" customHeight="1" x14ac:dyDescent="0.3">
      <c r="B6" s="195" t="s">
        <v>3</v>
      </c>
      <c r="C6" s="196"/>
      <c r="D6" s="196"/>
      <c r="E6" s="196"/>
      <c r="F6" s="196"/>
      <c r="G6" s="196"/>
      <c r="H6" s="197"/>
    </row>
    <row r="7" spans="2:8" ht="14.25" customHeight="1" x14ac:dyDescent="0.3">
      <c r="B7" s="195"/>
      <c r="C7" s="196"/>
      <c r="D7" s="196"/>
      <c r="E7" s="196"/>
      <c r="F7" s="196"/>
      <c r="G7" s="196"/>
      <c r="H7" s="197"/>
    </row>
    <row r="8" spans="2:8" ht="12.75" customHeight="1" thickBot="1" x14ac:dyDescent="0.35">
      <c r="B8" s="54"/>
      <c r="C8" s="48"/>
      <c r="D8" s="63"/>
      <c r="E8" s="64"/>
      <c r="F8" s="64"/>
      <c r="G8" s="62"/>
      <c r="H8" s="56"/>
    </row>
    <row r="9" spans="2:8" ht="21" customHeight="1" thickTop="1" x14ac:dyDescent="0.3">
      <c r="B9" s="54"/>
      <c r="C9" s="198" t="s">
        <v>4</v>
      </c>
      <c r="D9" s="199"/>
      <c r="E9" s="200" t="s">
        <v>5</v>
      </c>
      <c r="F9" s="201"/>
      <c r="G9" s="48"/>
      <c r="H9" s="56"/>
    </row>
    <row r="10" spans="2:8" ht="37.5" customHeight="1" x14ac:dyDescent="0.3">
      <c r="B10" s="54"/>
      <c r="C10" s="178" t="s">
        <v>6</v>
      </c>
      <c r="D10" s="179"/>
      <c r="E10" s="180" t="s">
        <v>7</v>
      </c>
      <c r="F10" s="181"/>
      <c r="G10" s="48"/>
      <c r="H10" s="56"/>
    </row>
    <row r="11" spans="2:8" ht="39.75" customHeight="1" x14ac:dyDescent="0.3">
      <c r="B11" s="54"/>
      <c r="C11" s="182" t="s">
        <v>8</v>
      </c>
      <c r="D11" s="183"/>
      <c r="E11" s="159" t="s">
        <v>9</v>
      </c>
      <c r="F11" s="160"/>
      <c r="G11" s="48"/>
      <c r="H11" s="56"/>
    </row>
    <row r="12" spans="2:8" ht="59.25" customHeight="1" x14ac:dyDescent="0.3">
      <c r="B12" s="54"/>
      <c r="C12" s="182" t="s">
        <v>10</v>
      </c>
      <c r="D12" s="183"/>
      <c r="E12" s="184" t="s">
        <v>11</v>
      </c>
      <c r="F12" s="185"/>
      <c r="G12" s="48"/>
      <c r="H12" s="56"/>
    </row>
    <row r="13" spans="2:8" ht="33.75" customHeight="1" x14ac:dyDescent="0.3">
      <c r="B13" s="54"/>
      <c r="C13" s="157" t="s">
        <v>12</v>
      </c>
      <c r="D13" s="158"/>
      <c r="E13" s="159" t="s">
        <v>13</v>
      </c>
      <c r="F13" s="160"/>
      <c r="G13" s="48"/>
      <c r="H13" s="56"/>
    </row>
    <row r="14" spans="2:8" ht="19.5" customHeight="1" x14ac:dyDescent="0.3">
      <c r="B14" s="54"/>
      <c r="C14" s="60"/>
      <c r="D14" s="60"/>
      <c r="E14" s="61"/>
      <c r="F14" s="61"/>
      <c r="G14" s="48"/>
      <c r="H14" s="56"/>
    </row>
    <row r="15" spans="2:8" ht="37.5" customHeight="1" thickBot="1" x14ac:dyDescent="0.35">
      <c r="B15" s="153" t="s">
        <v>14</v>
      </c>
      <c r="C15" s="154"/>
      <c r="D15" s="154"/>
      <c r="E15" s="154"/>
      <c r="F15" s="154"/>
      <c r="G15" s="154"/>
      <c r="H15" s="155"/>
    </row>
    <row r="16" spans="2:8" ht="27.75" customHeight="1" thickBot="1" x14ac:dyDescent="0.35">
      <c r="B16" s="54"/>
      <c r="C16" s="161" t="s">
        <v>15</v>
      </c>
      <c r="D16" s="162"/>
      <c r="E16" s="162" t="s">
        <v>16</v>
      </c>
      <c r="F16" s="173"/>
      <c r="G16" s="48"/>
      <c r="H16" s="56"/>
    </row>
    <row r="17" spans="2:8" ht="27.75" customHeight="1" x14ac:dyDescent="0.3">
      <c r="B17" s="54"/>
      <c r="C17" s="174" t="s">
        <v>17</v>
      </c>
      <c r="D17" s="175"/>
      <c r="E17" s="176" t="s">
        <v>18</v>
      </c>
      <c r="F17" s="177"/>
      <c r="G17" s="93"/>
      <c r="H17" s="56"/>
    </row>
    <row r="18" spans="2:8" ht="41.25" customHeight="1" x14ac:dyDescent="0.3">
      <c r="B18" s="54"/>
      <c r="C18" s="163" t="s">
        <v>19</v>
      </c>
      <c r="D18" s="164"/>
      <c r="E18" s="165" t="s">
        <v>20</v>
      </c>
      <c r="F18" s="166"/>
      <c r="G18" s="94"/>
      <c r="H18" s="56"/>
    </row>
    <row r="19" spans="2:8" ht="37.5" customHeight="1" thickBot="1" x14ac:dyDescent="0.35">
      <c r="B19" s="54"/>
      <c r="C19" s="167" t="s">
        <v>21</v>
      </c>
      <c r="D19" s="168"/>
      <c r="E19" s="169" t="s">
        <v>22</v>
      </c>
      <c r="F19" s="170"/>
      <c r="G19" s="94"/>
      <c r="H19" s="56"/>
    </row>
    <row r="20" spans="2:8" ht="11.25" customHeight="1" x14ac:dyDescent="0.3">
      <c r="B20" s="49"/>
      <c r="C20" s="50"/>
      <c r="D20" s="50"/>
      <c r="E20" s="50"/>
      <c r="F20" s="50"/>
      <c r="G20" s="50"/>
      <c r="H20" s="51"/>
    </row>
    <row r="21" spans="2:8" ht="14.25" customHeight="1" x14ac:dyDescent="0.3">
      <c r="B21" s="52"/>
      <c r="C21" s="171"/>
      <c r="D21" s="171"/>
      <c r="E21" s="172"/>
      <c r="F21" s="172"/>
      <c r="G21" s="172"/>
      <c r="H21" s="53"/>
    </row>
    <row r="22" spans="2:8" ht="36" customHeight="1" x14ac:dyDescent="0.3">
      <c r="B22" s="153" t="s">
        <v>23</v>
      </c>
      <c r="C22" s="154"/>
      <c r="D22" s="154"/>
      <c r="E22" s="154"/>
      <c r="F22" s="154"/>
      <c r="G22" s="154"/>
      <c r="H22" s="155"/>
    </row>
    <row r="23" spans="2:8" x14ac:dyDescent="0.3">
      <c r="B23" s="54"/>
      <c r="C23" s="55"/>
      <c r="D23" s="55"/>
      <c r="E23" s="156"/>
      <c r="F23" s="156"/>
      <c r="G23" s="48"/>
      <c r="H23" s="56"/>
    </row>
    <row r="24" spans="2:8" ht="14.4" thickBot="1" x14ac:dyDescent="0.35">
      <c r="B24" s="57"/>
      <c r="C24" s="58"/>
      <c r="D24" s="58"/>
      <c r="E24" s="58"/>
      <c r="F24" s="58"/>
      <c r="G24" s="58"/>
      <c r="H24" s="59"/>
    </row>
    <row r="25" spans="2:8" x14ac:dyDescent="0.3"/>
    <row r="26" spans="2:8" ht="29.25" customHeight="1" x14ac:dyDescent="0.3"/>
    <row r="27" spans="2:8" ht="26.25" customHeight="1" x14ac:dyDescent="0.3"/>
    <row r="28" spans="2:8" ht="43.5" customHeight="1" x14ac:dyDescent="0.3"/>
    <row r="29" spans="2:8" ht="53.25" customHeight="1" x14ac:dyDescent="0.3"/>
    <row r="30" spans="2:8" x14ac:dyDescent="0.3"/>
    <row r="31" spans="2:8" x14ac:dyDescent="0.3"/>
    <row r="32" spans="2:8" x14ac:dyDescent="0.3"/>
    <row r="33" x14ac:dyDescent="0.3"/>
    <row r="34" x14ac:dyDescent="0.3"/>
    <row r="35"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x14ac:dyDescent="0.3"/>
    <row r="52" x14ac:dyDescent="0.3"/>
    <row r="54" x14ac:dyDescent="0.3"/>
  </sheetData>
  <sheetProtection algorithmName="SHA-512" hashValue="t7sIeOvFa2bhukBsHVcHmO5gG9cifT20ZR8W/o5PL1FLs7w8K+KkEm6wLVbMVfYFM8W9luBRuNKu+qdhAWPM7w==" saltValue="H/shNuEdnFDauevCofk8Sw==" spinCount="100000" sheet="1" objects="1" scenarios="1"/>
  <mergeCells count="27">
    <mergeCell ref="B2:H2"/>
    <mergeCell ref="B3:H4"/>
    <mergeCell ref="B5:H5"/>
    <mergeCell ref="B6:H7"/>
    <mergeCell ref="C9:D9"/>
    <mergeCell ref="E9:F9"/>
    <mergeCell ref="C10:D10"/>
    <mergeCell ref="E10:F10"/>
    <mergeCell ref="C11:D11"/>
    <mergeCell ref="E11:F11"/>
    <mergeCell ref="C12:D12"/>
    <mergeCell ref="E12:F12"/>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showGridLines="0" tabSelected="1" topLeftCell="D37" zoomScale="80" zoomScaleNormal="80" workbookViewId="0">
      <selection activeCell="F43" sqref="F43"/>
    </sheetView>
  </sheetViews>
  <sheetFormatPr baseColWidth="10" defaultColWidth="11.44140625" defaultRowHeight="13.8" x14ac:dyDescent="0.25"/>
  <cols>
    <col min="1" max="1" width="3" style="44" hidden="1" customWidth="1"/>
    <col min="2" max="2" width="9.44140625" style="44" customWidth="1"/>
    <col min="3" max="3" width="25.5546875" style="44" customWidth="1"/>
    <col min="4" max="4" width="46.5546875" style="44" customWidth="1"/>
    <col min="5" max="5" width="10.109375" style="66" customWidth="1"/>
    <col min="6" max="6" width="44.5546875" style="66" customWidth="1"/>
    <col min="7" max="7" width="15.44140625" style="44" customWidth="1"/>
    <col min="8" max="9" width="43" style="44" customWidth="1"/>
    <col min="10" max="12" width="11.44140625" style="69" customWidth="1"/>
    <col min="13" max="24" width="11.44140625" style="44" customWidth="1"/>
    <col min="25" max="16384" width="11.44140625" style="44"/>
  </cols>
  <sheetData>
    <row r="1" spans="1:32" x14ac:dyDescent="0.25">
      <c r="B1" s="43"/>
      <c r="C1" s="43"/>
      <c r="D1" s="43"/>
      <c r="E1" s="65"/>
      <c r="F1" s="65"/>
      <c r="G1" s="43"/>
      <c r="H1" s="43"/>
      <c r="I1" s="43"/>
      <c r="J1" s="67"/>
      <c r="K1" s="67"/>
      <c r="L1" s="67"/>
      <c r="M1" s="43"/>
      <c r="N1" s="43"/>
      <c r="O1" s="43"/>
      <c r="P1" s="43"/>
      <c r="Q1" s="43"/>
      <c r="R1" s="43"/>
      <c r="S1" s="43"/>
      <c r="T1" s="43"/>
      <c r="U1" s="43"/>
      <c r="V1" s="43"/>
      <c r="W1" s="43"/>
      <c r="X1" s="43"/>
    </row>
    <row r="2" spans="1:32" x14ac:dyDescent="0.25">
      <c r="B2" s="43"/>
      <c r="C2" s="43"/>
      <c r="D2" s="43"/>
      <c r="E2" s="65"/>
      <c r="F2" s="65"/>
      <c r="G2" s="43"/>
      <c r="H2" s="43"/>
      <c r="I2" s="43"/>
      <c r="J2" s="67"/>
      <c r="K2" s="67"/>
      <c r="L2" s="67"/>
      <c r="M2" s="43"/>
      <c r="N2" s="43"/>
      <c r="O2" s="43"/>
      <c r="P2" s="43"/>
      <c r="Q2" s="43"/>
      <c r="R2" s="43"/>
      <c r="S2" s="43"/>
      <c r="T2" s="43"/>
      <c r="U2" s="43"/>
      <c r="V2" s="43"/>
      <c r="W2" s="43"/>
      <c r="X2" s="43"/>
    </row>
    <row r="3" spans="1:32" x14ac:dyDescent="0.25">
      <c r="B3" s="43"/>
      <c r="C3" s="43"/>
      <c r="D3" s="43"/>
      <c r="E3" s="65"/>
      <c r="F3" s="65"/>
      <c r="G3" s="43"/>
      <c r="H3" s="43"/>
      <c r="I3" s="43"/>
      <c r="J3" s="67"/>
      <c r="K3" s="67"/>
      <c r="L3" s="67"/>
      <c r="M3" s="43"/>
      <c r="N3" s="43"/>
      <c r="O3" s="43"/>
      <c r="P3" s="43"/>
      <c r="Q3" s="43"/>
      <c r="R3" s="43"/>
      <c r="S3" s="43"/>
      <c r="T3" s="43"/>
      <c r="U3" s="43"/>
      <c r="V3" s="43"/>
      <c r="W3" s="43"/>
      <c r="X3" s="43"/>
    </row>
    <row r="4" spans="1:32" x14ac:dyDescent="0.25">
      <c r="B4" s="43"/>
      <c r="C4" s="43"/>
      <c r="D4" s="43"/>
      <c r="E4" s="65"/>
      <c r="F4" s="65"/>
      <c r="G4" s="43"/>
      <c r="H4" s="43"/>
      <c r="I4" s="43"/>
      <c r="J4" s="67"/>
      <c r="K4" s="67"/>
      <c r="L4" s="67"/>
      <c r="M4" s="43"/>
      <c r="N4" s="43"/>
      <c r="O4" s="43"/>
      <c r="P4" s="43"/>
      <c r="Q4" s="43"/>
      <c r="R4" s="43"/>
      <c r="S4" s="43"/>
      <c r="T4" s="43"/>
      <c r="U4" s="43"/>
      <c r="V4" s="43"/>
      <c r="W4" s="43"/>
      <c r="X4" s="43"/>
    </row>
    <row r="5" spans="1:32" x14ac:dyDescent="0.25">
      <c r="B5" s="43"/>
      <c r="C5" s="43"/>
      <c r="D5" s="43"/>
      <c r="E5" s="65"/>
      <c r="F5" s="65"/>
      <c r="G5" s="43"/>
      <c r="H5" s="43"/>
      <c r="I5" s="43"/>
      <c r="J5" s="67"/>
      <c r="K5" s="67"/>
      <c r="L5" s="67"/>
      <c r="M5" s="43"/>
      <c r="N5" s="43"/>
      <c r="O5" s="43"/>
      <c r="P5" s="43"/>
      <c r="Q5" s="43"/>
      <c r="R5" s="43"/>
      <c r="S5" s="43"/>
      <c r="T5" s="43"/>
      <c r="U5" s="43"/>
      <c r="V5" s="43"/>
      <c r="W5" s="43"/>
      <c r="X5" s="43"/>
    </row>
    <row r="6" spans="1:32" x14ac:dyDescent="0.25">
      <c r="B6" s="43"/>
      <c r="C6" s="43"/>
      <c r="D6" s="43"/>
      <c r="E6" s="65"/>
      <c r="F6" s="65"/>
      <c r="G6" s="43"/>
      <c r="H6" s="43"/>
      <c r="I6" s="43"/>
      <c r="J6" s="67"/>
      <c r="K6" s="67"/>
      <c r="L6" s="67"/>
      <c r="M6" s="43"/>
      <c r="N6" s="43"/>
      <c r="O6" s="43"/>
      <c r="P6" s="43"/>
      <c r="Q6" s="43"/>
      <c r="R6" s="43"/>
      <c r="S6" s="43"/>
      <c r="T6" s="43"/>
      <c r="U6" s="43"/>
      <c r="V6" s="43"/>
      <c r="W6" s="43"/>
      <c r="X6" s="43"/>
    </row>
    <row r="7" spans="1:32" x14ac:dyDescent="0.25">
      <c r="B7" s="43"/>
      <c r="C7" s="43"/>
      <c r="D7" s="43"/>
      <c r="E7" s="65"/>
      <c r="F7" s="65"/>
      <c r="G7" s="43"/>
      <c r="H7" s="43"/>
      <c r="I7" s="43"/>
      <c r="J7" s="67"/>
      <c r="K7" s="67"/>
      <c r="L7" s="67"/>
      <c r="M7" s="43"/>
      <c r="N7" s="43"/>
      <c r="O7" s="43"/>
      <c r="P7" s="43"/>
      <c r="Q7" s="43"/>
      <c r="R7" s="43"/>
      <c r="S7" s="43"/>
      <c r="T7" s="43"/>
      <c r="U7" s="43"/>
      <c r="V7" s="43"/>
      <c r="W7" s="43"/>
      <c r="X7" s="43"/>
    </row>
    <row r="8" spans="1:32" x14ac:dyDescent="0.25">
      <c r="B8" s="43"/>
      <c r="C8" s="43"/>
      <c r="D8" s="43"/>
      <c r="E8" s="65"/>
      <c r="F8" s="65"/>
      <c r="G8" s="43"/>
      <c r="H8" s="43"/>
      <c r="I8" s="43"/>
      <c r="J8" s="67"/>
      <c r="K8" s="67"/>
      <c r="L8" s="67"/>
      <c r="M8" s="43"/>
      <c r="N8" s="43"/>
      <c r="O8" s="43"/>
      <c r="P8" s="43"/>
      <c r="Q8" s="43"/>
      <c r="R8" s="43"/>
      <c r="S8" s="43"/>
      <c r="T8" s="43"/>
      <c r="U8" s="43"/>
      <c r="V8" s="43"/>
      <c r="W8" s="43"/>
      <c r="X8" s="43"/>
    </row>
    <row r="9" spans="1:32" x14ac:dyDescent="0.25">
      <c r="B9" s="43"/>
      <c r="C9" s="43"/>
      <c r="D9" s="43"/>
      <c r="E9" s="65"/>
      <c r="F9" s="65"/>
      <c r="G9" s="43"/>
      <c r="H9" s="43"/>
      <c r="I9" s="43"/>
      <c r="J9" s="67"/>
      <c r="K9" s="67"/>
      <c r="L9" s="67"/>
      <c r="M9" s="43"/>
      <c r="N9" s="43"/>
      <c r="O9" s="43"/>
      <c r="P9" s="43"/>
      <c r="Q9" s="43"/>
      <c r="R9" s="43"/>
      <c r="S9" s="43"/>
      <c r="T9" s="43"/>
      <c r="U9" s="43"/>
      <c r="V9" s="43"/>
      <c r="W9" s="43"/>
      <c r="X9" s="43"/>
    </row>
    <row r="10" spans="1:32" x14ac:dyDescent="0.25">
      <c r="B10" s="43"/>
      <c r="C10" s="43"/>
      <c r="D10" s="43"/>
      <c r="E10" s="65"/>
      <c r="F10" s="65"/>
      <c r="G10" s="43"/>
      <c r="H10" s="43"/>
      <c r="I10" s="43"/>
      <c r="J10" s="67"/>
      <c r="K10" s="67"/>
      <c r="L10" s="67"/>
      <c r="M10" s="43"/>
      <c r="N10" s="43"/>
      <c r="O10" s="43"/>
      <c r="P10" s="43"/>
      <c r="Q10" s="43"/>
      <c r="R10" s="43"/>
      <c r="S10" s="43"/>
      <c r="T10" s="43"/>
      <c r="U10" s="43"/>
      <c r="V10" s="43"/>
      <c r="W10" s="43"/>
      <c r="X10" s="43"/>
    </row>
    <row r="11" spans="1:32" x14ac:dyDescent="0.25">
      <c r="B11" s="43"/>
      <c r="C11" s="43"/>
      <c r="D11" s="43"/>
      <c r="E11" s="65"/>
      <c r="F11" s="65"/>
      <c r="G11" s="43"/>
      <c r="H11" s="43"/>
      <c r="I11" s="43"/>
      <c r="J11" s="67"/>
      <c r="K11" s="67"/>
      <c r="L11" s="67"/>
      <c r="M11" s="43"/>
      <c r="N11" s="43"/>
      <c r="O11" s="43"/>
      <c r="P11" s="43"/>
      <c r="Q11" s="43"/>
      <c r="R11" s="43"/>
      <c r="S11" s="43"/>
      <c r="T11" s="43"/>
      <c r="U11" s="43"/>
      <c r="V11" s="43"/>
      <c r="W11" s="43"/>
      <c r="X11" s="43"/>
    </row>
    <row r="12" spans="1:32" x14ac:dyDescent="0.25">
      <c r="B12" s="43"/>
      <c r="C12" s="43"/>
      <c r="D12" s="43"/>
      <c r="E12" s="65"/>
      <c r="F12" s="65"/>
      <c r="G12" s="43"/>
      <c r="H12" s="43"/>
      <c r="I12" s="43"/>
      <c r="J12" s="67"/>
      <c r="K12" s="67"/>
      <c r="L12" s="67"/>
      <c r="M12" s="43"/>
      <c r="N12" s="43"/>
      <c r="O12" s="43"/>
      <c r="P12" s="43"/>
      <c r="Q12" s="43"/>
      <c r="R12" s="43"/>
      <c r="S12" s="43"/>
      <c r="T12" s="43"/>
      <c r="U12" s="43"/>
      <c r="V12" s="43"/>
      <c r="W12" s="43"/>
      <c r="X12" s="43"/>
    </row>
    <row r="13" spans="1:32" x14ac:dyDescent="0.25">
      <c r="B13" s="43"/>
      <c r="C13" s="43"/>
      <c r="D13" s="43"/>
      <c r="E13" s="65"/>
      <c r="F13" s="65"/>
      <c r="G13" s="43"/>
      <c r="H13" s="43"/>
      <c r="I13" s="43"/>
      <c r="J13" s="67"/>
      <c r="K13" s="67"/>
      <c r="L13" s="67"/>
      <c r="M13" s="43"/>
      <c r="N13" s="43"/>
      <c r="O13" s="43"/>
      <c r="P13" s="43"/>
      <c r="Q13" s="43"/>
      <c r="R13" s="43"/>
      <c r="S13" s="43"/>
      <c r="T13" s="43"/>
      <c r="U13" s="43"/>
      <c r="V13" s="43"/>
      <c r="W13" s="43"/>
      <c r="X13" s="43"/>
    </row>
    <row r="14" spans="1:32" s="46" customFormat="1" ht="49.5" customHeight="1" x14ac:dyDescent="0.3">
      <c r="B14" s="202" t="s">
        <v>24</v>
      </c>
      <c r="C14" s="202"/>
      <c r="D14" s="202"/>
      <c r="E14" s="202"/>
      <c r="F14" s="202"/>
      <c r="G14" s="202"/>
      <c r="H14" s="202"/>
      <c r="I14" s="202"/>
      <c r="J14" s="68"/>
      <c r="K14" s="68"/>
      <c r="L14" s="68"/>
      <c r="M14" s="45"/>
      <c r="N14" s="45"/>
      <c r="O14" s="45"/>
      <c r="P14" s="45"/>
      <c r="Q14" s="45"/>
      <c r="R14" s="45"/>
      <c r="S14" s="45"/>
      <c r="T14" s="45"/>
      <c r="U14" s="45"/>
      <c r="V14" s="45"/>
      <c r="W14" s="45"/>
      <c r="X14" s="45"/>
      <c r="Y14" s="45"/>
      <c r="Z14" s="45"/>
      <c r="AA14" s="45"/>
      <c r="AB14" s="45"/>
      <c r="AC14" s="45"/>
      <c r="AD14" s="45"/>
      <c r="AE14" s="45"/>
      <c r="AF14" s="45"/>
    </row>
    <row r="15" spans="1:32" s="46" customFormat="1" ht="123.75" customHeight="1" thickBot="1" x14ac:dyDescent="0.35">
      <c r="B15" s="71" t="s">
        <v>25</v>
      </c>
      <c r="C15" s="71" t="s">
        <v>6</v>
      </c>
      <c r="D15" s="72" t="s">
        <v>8</v>
      </c>
      <c r="E15" s="73" t="s">
        <v>26</v>
      </c>
      <c r="F15" s="73" t="s">
        <v>27</v>
      </c>
      <c r="G15" s="73" t="s">
        <v>28</v>
      </c>
      <c r="H15" s="74" t="s">
        <v>29</v>
      </c>
      <c r="I15" s="73" t="s">
        <v>30</v>
      </c>
      <c r="J15" s="68"/>
      <c r="K15" s="68"/>
      <c r="L15" s="68"/>
      <c r="M15" s="45"/>
      <c r="N15" s="45"/>
      <c r="O15" s="45"/>
      <c r="P15" s="45"/>
      <c r="Q15" s="45"/>
      <c r="R15" s="45"/>
      <c r="S15" s="45"/>
      <c r="T15" s="45"/>
      <c r="U15" s="45"/>
      <c r="V15" s="45"/>
      <c r="W15" s="45"/>
      <c r="X15" s="45"/>
      <c r="Y15" s="45"/>
      <c r="Z15" s="45"/>
      <c r="AA15" s="45"/>
      <c r="AB15" s="45"/>
      <c r="AC15" s="45"/>
      <c r="AD15" s="45"/>
      <c r="AE15" s="45"/>
      <c r="AF15" s="45"/>
    </row>
    <row r="16" spans="1:32" s="46" customFormat="1" ht="71.25" customHeight="1" x14ac:dyDescent="0.3">
      <c r="A16" s="95" t="str">
        <f>1&amp;E16</f>
        <v>1a</v>
      </c>
      <c r="B16" s="218" t="s">
        <v>31</v>
      </c>
      <c r="C16" s="228" t="s">
        <v>32</v>
      </c>
      <c r="D16" s="215" t="s">
        <v>33</v>
      </c>
      <c r="E16" s="75" t="s">
        <v>34</v>
      </c>
      <c r="F16" s="76" t="s">
        <v>35</v>
      </c>
      <c r="G16" s="103" t="s">
        <v>38</v>
      </c>
      <c r="H16" s="104" t="s">
        <v>196</v>
      </c>
      <c r="I16" s="96" t="str">
        <f>+IF(G16="Si","Mantenimiento del control",IF(G16="En proceso","Oportunidad de mejora","Deficiencia de control"))</f>
        <v>Mantenimiento del control</v>
      </c>
      <c r="J16" s="97">
        <f t="shared" ref="J16:J27" si="0">+IF(G16="Si",20,IF(G16="En proceso",10,0))</f>
        <v>20</v>
      </c>
      <c r="K16" s="97">
        <v>0.123</v>
      </c>
      <c r="L16" s="97">
        <f>+J16+K16</f>
        <v>20.123000000000001</v>
      </c>
    </row>
    <row r="17" spans="1:32" s="46" customFormat="1" ht="62.4" x14ac:dyDescent="0.3">
      <c r="A17" s="95" t="str">
        <f t="shared" ref="A17:A27" si="1">1&amp;E17</f>
        <v>1b</v>
      </c>
      <c r="B17" s="219"/>
      <c r="C17" s="229"/>
      <c r="D17" s="216"/>
      <c r="E17" s="77" t="s">
        <v>36</v>
      </c>
      <c r="F17" s="78" t="s">
        <v>37</v>
      </c>
      <c r="G17" s="105" t="s">
        <v>38</v>
      </c>
      <c r="H17" s="106" t="s">
        <v>197</v>
      </c>
      <c r="I17" s="98" t="str">
        <f t="shared" ref="I17:I59" si="2">+IF(G17="Si","Mantenimiento del control",IF(G17="En proceso","Oportunidad de mejora","Deficiencia de control"))</f>
        <v>Mantenimiento del control</v>
      </c>
      <c r="J17" s="99">
        <f t="shared" si="0"/>
        <v>20</v>
      </c>
      <c r="K17" s="97">
        <v>0.1234</v>
      </c>
      <c r="L17" s="97">
        <f t="shared" ref="L17:L59" si="3">+J17+K17</f>
        <v>20.1234</v>
      </c>
    </row>
    <row r="18" spans="1:32" s="46" customFormat="1" ht="64.5" customHeight="1" x14ac:dyDescent="0.3">
      <c r="A18" s="95" t="str">
        <f t="shared" si="1"/>
        <v>1c</v>
      </c>
      <c r="B18" s="219"/>
      <c r="C18" s="229"/>
      <c r="D18" s="216"/>
      <c r="E18" s="77" t="s">
        <v>39</v>
      </c>
      <c r="F18" s="79" t="s">
        <v>40</v>
      </c>
      <c r="G18" s="105" t="s">
        <v>38</v>
      </c>
      <c r="H18" s="107" t="s">
        <v>198</v>
      </c>
      <c r="I18" s="100" t="str">
        <f t="shared" si="2"/>
        <v>Mantenimiento del control</v>
      </c>
      <c r="J18" s="99">
        <f t="shared" si="0"/>
        <v>20</v>
      </c>
      <c r="K18" s="97">
        <v>0.12345</v>
      </c>
      <c r="L18" s="97">
        <f t="shared" si="3"/>
        <v>20.123449999999998</v>
      </c>
    </row>
    <row r="19" spans="1:32" s="46" customFormat="1" ht="37.5" customHeight="1" x14ac:dyDescent="0.3">
      <c r="A19" s="95" t="str">
        <f t="shared" si="1"/>
        <v>1d</v>
      </c>
      <c r="B19" s="219"/>
      <c r="C19" s="229"/>
      <c r="D19" s="216"/>
      <c r="E19" s="77" t="s">
        <v>41</v>
      </c>
      <c r="F19" s="79" t="s">
        <v>42</v>
      </c>
      <c r="G19" s="105" t="s">
        <v>38</v>
      </c>
      <c r="H19" s="107" t="s">
        <v>229</v>
      </c>
      <c r="I19" s="100" t="str">
        <f t="shared" si="2"/>
        <v>Mantenimiento del control</v>
      </c>
      <c r="J19" s="99">
        <f t="shared" si="0"/>
        <v>20</v>
      </c>
      <c r="K19" s="97">
        <v>0.123456</v>
      </c>
      <c r="L19" s="97">
        <f t="shared" si="3"/>
        <v>20.123456000000001</v>
      </c>
    </row>
    <row r="20" spans="1:32" s="46" customFormat="1" ht="37.5" customHeight="1" x14ac:dyDescent="0.3">
      <c r="A20" s="95" t="str">
        <f t="shared" si="1"/>
        <v>1e</v>
      </c>
      <c r="B20" s="219"/>
      <c r="C20" s="229"/>
      <c r="D20" s="216"/>
      <c r="E20" s="77" t="s">
        <v>43</v>
      </c>
      <c r="F20" s="79" t="s">
        <v>44</v>
      </c>
      <c r="G20" s="105" t="s">
        <v>38</v>
      </c>
      <c r="H20" s="107" t="s">
        <v>199</v>
      </c>
      <c r="I20" s="100" t="str">
        <f t="shared" si="2"/>
        <v>Mantenimiento del control</v>
      </c>
      <c r="J20" s="99">
        <f t="shared" si="0"/>
        <v>20</v>
      </c>
      <c r="K20" s="97">
        <v>0.12345678</v>
      </c>
      <c r="L20" s="97">
        <f t="shared" si="3"/>
        <v>20.123456780000001</v>
      </c>
    </row>
    <row r="21" spans="1:32" s="46" customFormat="1" ht="63.75" customHeight="1" x14ac:dyDescent="0.3">
      <c r="A21" s="95" t="str">
        <f t="shared" si="1"/>
        <v>1f</v>
      </c>
      <c r="B21" s="219"/>
      <c r="C21" s="229"/>
      <c r="D21" s="216"/>
      <c r="E21" s="77" t="s">
        <v>45</v>
      </c>
      <c r="F21" s="79" t="s">
        <v>46</v>
      </c>
      <c r="G21" s="105" t="s">
        <v>38</v>
      </c>
      <c r="H21" s="107" t="s">
        <v>190</v>
      </c>
      <c r="I21" s="100" t="str">
        <f t="shared" si="2"/>
        <v>Mantenimiento del control</v>
      </c>
      <c r="J21" s="99">
        <f t="shared" si="0"/>
        <v>20</v>
      </c>
      <c r="K21" s="97">
        <v>0.123456789</v>
      </c>
      <c r="L21" s="97">
        <f t="shared" si="3"/>
        <v>20.123456788999999</v>
      </c>
    </row>
    <row r="22" spans="1:32" s="46" customFormat="1" ht="65.25" customHeight="1" x14ac:dyDescent="0.3">
      <c r="A22" s="95" t="str">
        <f t="shared" si="1"/>
        <v>1g</v>
      </c>
      <c r="B22" s="219"/>
      <c r="C22" s="229"/>
      <c r="D22" s="216"/>
      <c r="E22" s="77" t="s">
        <v>47</v>
      </c>
      <c r="F22" s="79" t="s">
        <v>48</v>
      </c>
      <c r="G22" s="105" t="s">
        <v>38</v>
      </c>
      <c r="H22" s="319" t="s">
        <v>232</v>
      </c>
      <c r="I22" s="100" t="str">
        <f t="shared" si="2"/>
        <v>Mantenimiento del control</v>
      </c>
      <c r="J22" s="99">
        <f t="shared" si="0"/>
        <v>20</v>
      </c>
      <c r="K22" s="97">
        <v>0.12345678910000001</v>
      </c>
      <c r="L22" s="97">
        <f t="shared" si="3"/>
        <v>20.1234567891</v>
      </c>
    </row>
    <row r="23" spans="1:32" s="46" customFormat="1" ht="62.25" customHeight="1" x14ac:dyDescent="0.3">
      <c r="A23" s="95" t="str">
        <f t="shared" si="1"/>
        <v>1h</v>
      </c>
      <c r="B23" s="219"/>
      <c r="C23" s="229"/>
      <c r="D23" s="216"/>
      <c r="E23" s="77" t="s">
        <v>49</v>
      </c>
      <c r="F23" s="79" t="s">
        <v>50</v>
      </c>
      <c r="G23" s="105" t="s">
        <v>38</v>
      </c>
      <c r="H23" s="107" t="s">
        <v>208</v>
      </c>
      <c r="I23" s="100" t="str">
        <f t="shared" si="2"/>
        <v>Mantenimiento del control</v>
      </c>
      <c r="J23" s="99">
        <f t="shared" si="0"/>
        <v>20</v>
      </c>
      <c r="K23" s="97">
        <v>0.12345678911999999</v>
      </c>
      <c r="L23" s="97">
        <f t="shared" si="3"/>
        <v>20.123456789119999</v>
      </c>
    </row>
    <row r="24" spans="1:32" s="46" customFormat="1" ht="57.75" customHeight="1" x14ac:dyDescent="0.3">
      <c r="A24" s="95" t="str">
        <f t="shared" si="1"/>
        <v>1i</v>
      </c>
      <c r="B24" s="219"/>
      <c r="C24" s="229"/>
      <c r="D24" s="216"/>
      <c r="E24" s="77" t="s">
        <v>51</v>
      </c>
      <c r="F24" s="79" t="s">
        <v>52</v>
      </c>
      <c r="G24" s="105" t="s">
        <v>75</v>
      </c>
      <c r="H24" s="107" t="s">
        <v>231</v>
      </c>
      <c r="I24" s="100" t="str">
        <f t="shared" si="2"/>
        <v>Oportunidad de mejora</v>
      </c>
      <c r="J24" s="99">
        <f t="shared" si="0"/>
        <v>10</v>
      </c>
      <c r="K24" s="97">
        <v>0.123456789123</v>
      </c>
      <c r="L24" s="97">
        <f t="shared" si="3"/>
        <v>10.123456789123001</v>
      </c>
    </row>
    <row r="25" spans="1:32" s="46" customFormat="1" ht="52.5" customHeight="1" x14ac:dyDescent="0.3">
      <c r="A25" s="95" t="str">
        <f t="shared" si="1"/>
        <v>1j</v>
      </c>
      <c r="B25" s="219"/>
      <c r="C25" s="229"/>
      <c r="D25" s="216"/>
      <c r="E25" s="77" t="s">
        <v>53</v>
      </c>
      <c r="F25" s="79" t="s">
        <v>54</v>
      </c>
      <c r="G25" s="105" t="s">
        <v>75</v>
      </c>
      <c r="H25" s="319" t="s">
        <v>233</v>
      </c>
      <c r="I25" s="100" t="str">
        <f t="shared" si="2"/>
        <v>Oportunidad de mejora</v>
      </c>
      <c r="J25" s="99">
        <f t="shared" si="0"/>
        <v>10</v>
      </c>
      <c r="K25" s="97">
        <v>0.1234567891234</v>
      </c>
      <c r="L25" s="97">
        <f t="shared" si="3"/>
        <v>10.1234567891234</v>
      </c>
    </row>
    <row r="26" spans="1:32" s="46" customFormat="1" ht="42" customHeight="1" x14ac:dyDescent="0.3">
      <c r="A26" s="95" t="str">
        <f t="shared" si="1"/>
        <v>1k</v>
      </c>
      <c r="B26" s="219"/>
      <c r="C26" s="229"/>
      <c r="D26" s="216"/>
      <c r="E26" s="77" t="s">
        <v>55</v>
      </c>
      <c r="F26" s="79" t="s">
        <v>56</v>
      </c>
      <c r="G26" s="105" t="s">
        <v>38</v>
      </c>
      <c r="H26" s="152" t="s">
        <v>234</v>
      </c>
      <c r="I26" s="100" t="str">
        <f t="shared" si="2"/>
        <v>Mantenimiento del control</v>
      </c>
      <c r="J26" s="99">
        <f t="shared" si="0"/>
        <v>20</v>
      </c>
      <c r="K26" s="97">
        <v>0.12345678912345</v>
      </c>
      <c r="L26" s="97">
        <f t="shared" si="3"/>
        <v>20.123456789123448</v>
      </c>
    </row>
    <row r="27" spans="1:32" s="46" customFormat="1" ht="31.8" thickBot="1" x14ac:dyDescent="0.35">
      <c r="A27" s="95" t="str">
        <f t="shared" si="1"/>
        <v>1l</v>
      </c>
      <c r="B27" s="220"/>
      <c r="C27" s="230"/>
      <c r="D27" s="217"/>
      <c r="E27" s="80" t="s">
        <v>57</v>
      </c>
      <c r="F27" s="81" t="s">
        <v>58</v>
      </c>
      <c r="G27" s="108" t="s">
        <v>38</v>
      </c>
      <c r="H27" s="109" t="s">
        <v>194</v>
      </c>
      <c r="I27" s="101" t="str">
        <f t="shared" si="2"/>
        <v>Mantenimiento del control</v>
      </c>
      <c r="J27" s="99">
        <f t="shared" si="0"/>
        <v>20</v>
      </c>
      <c r="K27" s="97">
        <v>0.12345678912345601</v>
      </c>
      <c r="L27" s="97">
        <f t="shared" si="3"/>
        <v>20.123456789123455</v>
      </c>
    </row>
    <row r="28" spans="1:32" s="46" customFormat="1" ht="44.25" customHeight="1" thickBot="1" x14ac:dyDescent="0.35">
      <c r="A28" s="95" t="str">
        <f>2&amp;E28</f>
        <v>2a</v>
      </c>
      <c r="B28" s="221" t="s">
        <v>59</v>
      </c>
      <c r="C28" s="231" t="s">
        <v>60</v>
      </c>
      <c r="D28" s="224" t="s">
        <v>61</v>
      </c>
      <c r="E28" s="75" t="s">
        <v>34</v>
      </c>
      <c r="F28" s="76" t="s">
        <v>62</v>
      </c>
      <c r="G28" s="103" t="s">
        <v>38</v>
      </c>
      <c r="H28" s="104" t="s">
        <v>200</v>
      </c>
      <c r="I28" s="96" t="str">
        <f t="shared" si="2"/>
        <v>Mantenimiento del control</v>
      </c>
      <c r="J28" s="97">
        <f>+IF(G28="Si",40,IF(G28="En proceso",30,20))</f>
        <v>40</v>
      </c>
      <c r="K28" s="97">
        <v>0.23</v>
      </c>
      <c r="L28" s="97">
        <f t="shared" si="3"/>
        <v>40.229999999999997</v>
      </c>
    </row>
    <row r="29" spans="1:32" s="46" customFormat="1" ht="55.8" thickBot="1" x14ac:dyDescent="0.35">
      <c r="A29" s="95" t="str">
        <f t="shared" ref="A29:A31" si="4">2&amp;E29</f>
        <v>2b</v>
      </c>
      <c r="B29" s="222"/>
      <c r="C29" s="232"/>
      <c r="D29" s="225"/>
      <c r="E29" s="77" t="s">
        <v>36</v>
      </c>
      <c r="F29" s="79" t="s">
        <v>63</v>
      </c>
      <c r="G29" s="105" t="s">
        <v>38</v>
      </c>
      <c r="H29" s="104" t="s">
        <v>200</v>
      </c>
      <c r="I29" s="100" t="str">
        <f t="shared" si="2"/>
        <v>Mantenimiento del control</v>
      </c>
      <c r="J29" s="97">
        <f>+IF(G29="Si",40,IF(G29="En proceso",30,20))</f>
        <v>40</v>
      </c>
      <c r="K29" s="97">
        <v>0.23400000000000001</v>
      </c>
      <c r="L29" s="97">
        <f t="shared" si="3"/>
        <v>40.234000000000002</v>
      </c>
    </row>
    <row r="30" spans="1:32" s="46" customFormat="1" ht="55.8" thickBot="1" x14ac:dyDescent="0.35">
      <c r="A30" s="95" t="str">
        <f t="shared" si="4"/>
        <v>2c</v>
      </c>
      <c r="B30" s="222"/>
      <c r="C30" s="232"/>
      <c r="D30" s="225"/>
      <c r="E30" s="77" t="s">
        <v>39</v>
      </c>
      <c r="F30" s="79" t="s">
        <v>64</v>
      </c>
      <c r="G30" s="105" t="s">
        <v>38</v>
      </c>
      <c r="H30" s="104" t="s">
        <v>200</v>
      </c>
      <c r="I30" s="100" t="str">
        <f t="shared" si="2"/>
        <v>Mantenimiento del control</v>
      </c>
      <c r="J30" s="97">
        <f>+IF(G30="Si",40,IF(G30="En proceso",30,20))</f>
        <v>40</v>
      </c>
      <c r="K30" s="97">
        <v>0.23449999999999999</v>
      </c>
      <c r="L30" s="97">
        <f t="shared" si="3"/>
        <v>40.234499999999997</v>
      </c>
    </row>
    <row r="31" spans="1:32" s="46" customFormat="1" ht="55.8" thickBot="1" x14ac:dyDescent="0.35">
      <c r="A31" s="95" t="str">
        <f t="shared" si="4"/>
        <v>2d</v>
      </c>
      <c r="B31" s="223"/>
      <c r="C31" s="233"/>
      <c r="D31" s="226"/>
      <c r="E31" s="80" t="s">
        <v>41</v>
      </c>
      <c r="F31" s="81" t="s">
        <v>65</v>
      </c>
      <c r="G31" s="108" t="s">
        <v>38</v>
      </c>
      <c r="H31" s="104" t="s">
        <v>200</v>
      </c>
      <c r="I31" s="101" t="str">
        <f t="shared" si="2"/>
        <v>Mantenimiento del control</v>
      </c>
      <c r="J31" s="97">
        <f>+IF(G31="Si",40,IF(G31="En proceso",30,20))</f>
        <v>40</v>
      </c>
      <c r="K31" s="97">
        <v>0.23455999999999999</v>
      </c>
      <c r="L31" s="97">
        <f t="shared" si="3"/>
        <v>40.234560000000002</v>
      </c>
    </row>
    <row r="32" spans="1:32" s="46" customFormat="1" ht="49.5" customHeight="1" x14ac:dyDescent="0.3">
      <c r="A32" s="95" t="str">
        <f>3&amp;E32</f>
        <v>3a</v>
      </c>
      <c r="B32" s="243" t="s">
        <v>66</v>
      </c>
      <c r="C32" s="243" t="s">
        <v>60</v>
      </c>
      <c r="D32" s="244" t="s">
        <v>67</v>
      </c>
      <c r="E32" s="77" t="s">
        <v>34</v>
      </c>
      <c r="F32" s="79" t="s">
        <v>68</v>
      </c>
      <c r="G32" s="105" t="s">
        <v>38</v>
      </c>
      <c r="H32" s="107" t="s">
        <v>201</v>
      </c>
      <c r="I32" s="100" t="str">
        <f t="shared" si="2"/>
        <v>Mantenimiento del control</v>
      </c>
      <c r="J32" s="97">
        <f t="shared" ref="J32:J37" si="5">+IF(G32="Si",40,IF(G32="En proceso",30,20))</f>
        <v>40</v>
      </c>
      <c r="K32" s="102">
        <v>0.234567</v>
      </c>
      <c r="L32" s="97">
        <f t="shared" ref="L32:L37" si="6">+J32+K32</f>
        <v>40.234566999999998</v>
      </c>
      <c r="M32" s="45"/>
      <c r="N32" s="45"/>
      <c r="O32" s="45"/>
      <c r="P32" s="45"/>
      <c r="Q32" s="45"/>
      <c r="R32" s="45"/>
      <c r="S32" s="45"/>
      <c r="T32" s="45"/>
      <c r="U32" s="45"/>
      <c r="V32" s="45"/>
      <c r="W32" s="45"/>
      <c r="X32" s="45"/>
      <c r="Y32" s="45"/>
      <c r="Z32" s="45"/>
      <c r="AA32" s="45"/>
      <c r="AB32" s="45"/>
      <c r="AC32" s="45"/>
      <c r="AD32" s="45"/>
      <c r="AE32" s="45"/>
      <c r="AF32" s="45"/>
    </row>
    <row r="33" spans="1:32" s="46" customFormat="1" ht="49.5" customHeight="1" x14ac:dyDescent="0.3">
      <c r="A33" s="95" t="str">
        <f t="shared" ref="A33:A34" si="7">3&amp;E33</f>
        <v>3b</v>
      </c>
      <c r="B33" s="243"/>
      <c r="C33" s="243"/>
      <c r="D33" s="244"/>
      <c r="E33" s="77" t="s">
        <v>36</v>
      </c>
      <c r="F33" s="79" t="s">
        <v>69</v>
      </c>
      <c r="G33" s="105" t="s">
        <v>38</v>
      </c>
      <c r="H33" s="107" t="s">
        <v>202</v>
      </c>
      <c r="I33" s="100" t="str">
        <f t="shared" si="2"/>
        <v>Mantenimiento del control</v>
      </c>
      <c r="J33" s="97">
        <f t="shared" si="5"/>
        <v>40</v>
      </c>
      <c r="K33" s="102">
        <v>0.23456779999999999</v>
      </c>
      <c r="L33" s="97">
        <f t="shared" si="6"/>
        <v>40.234567800000001</v>
      </c>
      <c r="M33" s="45"/>
      <c r="N33" s="45"/>
      <c r="O33" s="45"/>
      <c r="P33" s="45"/>
      <c r="Q33" s="45"/>
      <c r="R33" s="45"/>
      <c r="S33" s="45"/>
      <c r="T33" s="45"/>
      <c r="U33" s="45"/>
      <c r="V33" s="45"/>
      <c r="W33" s="45"/>
      <c r="X33" s="45"/>
      <c r="Y33" s="45"/>
      <c r="Z33" s="45"/>
      <c r="AA33" s="45"/>
      <c r="AB33" s="45"/>
      <c r="AC33" s="45"/>
      <c r="AD33" s="45"/>
      <c r="AE33" s="45"/>
      <c r="AF33" s="45"/>
    </row>
    <row r="34" spans="1:32" s="46" customFormat="1" ht="66" customHeight="1" thickBot="1" x14ac:dyDescent="0.35">
      <c r="A34" s="95" t="str">
        <f t="shared" si="7"/>
        <v>3c</v>
      </c>
      <c r="B34" s="243"/>
      <c r="C34" s="243"/>
      <c r="D34" s="244"/>
      <c r="E34" s="77" t="s">
        <v>39</v>
      </c>
      <c r="F34" s="79" t="s">
        <v>70</v>
      </c>
      <c r="G34" s="105" t="s">
        <v>38</v>
      </c>
      <c r="H34" s="107" t="s">
        <v>203</v>
      </c>
      <c r="I34" s="100" t="str">
        <f t="shared" si="2"/>
        <v>Mantenimiento del control</v>
      </c>
      <c r="J34" s="97">
        <f t="shared" si="5"/>
        <v>40</v>
      </c>
      <c r="K34" s="102">
        <v>0.23456789</v>
      </c>
      <c r="L34" s="97">
        <f t="shared" si="6"/>
        <v>40.234567890000001</v>
      </c>
      <c r="M34" s="45"/>
      <c r="N34" s="45"/>
      <c r="O34" s="45"/>
      <c r="P34" s="45"/>
      <c r="Q34" s="45"/>
      <c r="R34" s="45"/>
      <c r="S34" s="45"/>
      <c r="T34" s="45"/>
      <c r="U34" s="45"/>
      <c r="V34" s="45"/>
      <c r="W34" s="45"/>
      <c r="X34" s="45"/>
      <c r="Y34" s="45"/>
      <c r="Z34" s="45"/>
      <c r="AA34" s="45"/>
      <c r="AB34" s="45"/>
      <c r="AC34" s="45"/>
      <c r="AD34" s="45"/>
      <c r="AE34" s="45"/>
      <c r="AF34" s="45"/>
    </row>
    <row r="35" spans="1:32" s="46" customFormat="1" ht="60.75" customHeight="1" x14ac:dyDescent="0.3">
      <c r="A35" s="95" t="str">
        <f>4&amp;E35</f>
        <v>4a</v>
      </c>
      <c r="B35" s="245" t="s">
        <v>71</v>
      </c>
      <c r="C35" s="232" t="s">
        <v>60</v>
      </c>
      <c r="D35" s="225" t="s">
        <v>72</v>
      </c>
      <c r="E35" s="75" t="s">
        <v>34</v>
      </c>
      <c r="F35" s="76" t="s">
        <v>73</v>
      </c>
      <c r="G35" s="103" t="s">
        <v>38</v>
      </c>
      <c r="H35" s="104" t="s">
        <v>204</v>
      </c>
      <c r="I35" s="96" t="str">
        <f t="shared" si="2"/>
        <v>Mantenimiento del control</v>
      </c>
      <c r="J35" s="97">
        <f t="shared" si="5"/>
        <v>40</v>
      </c>
      <c r="K35" s="102">
        <v>0.23456789119999999</v>
      </c>
      <c r="L35" s="97">
        <f t="shared" si="6"/>
        <v>40.234567891200001</v>
      </c>
      <c r="M35" s="45"/>
      <c r="N35" s="45"/>
      <c r="O35" s="45"/>
      <c r="P35" s="45"/>
      <c r="Q35" s="45"/>
    </row>
    <row r="36" spans="1:32" s="46" customFormat="1" ht="57.75" customHeight="1" x14ac:dyDescent="0.3">
      <c r="A36" s="95" t="str">
        <f t="shared" ref="A36:A37" si="8">4&amp;E36</f>
        <v>4b</v>
      </c>
      <c r="B36" s="245"/>
      <c r="C36" s="232"/>
      <c r="D36" s="225"/>
      <c r="E36" s="77" t="s">
        <v>36</v>
      </c>
      <c r="F36" s="79" t="s">
        <v>74</v>
      </c>
      <c r="G36" s="105" t="s">
        <v>75</v>
      </c>
      <c r="H36" s="107" t="s">
        <v>205</v>
      </c>
      <c r="I36" s="100" t="str">
        <f t="shared" si="2"/>
        <v>Oportunidad de mejora</v>
      </c>
      <c r="J36" s="97">
        <f t="shared" si="5"/>
        <v>30</v>
      </c>
      <c r="K36" s="102">
        <v>0.23456789122999999</v>
      </c>
      <c r="L36" s="97">
        <f t="shared" si="6"/>
        <v>30.23456789123</v>
      </c>
      <c r="M36" s="45"/>
      <c r="N36" s="45"/>
      <c r="O36" s="45"/>
      <c r="P36" s="45"/>
      <c r="Q36" s="45"/>
    </row>
    <row r="37" spans="1:32" s="46" customFormat="1" ht="49.5" customHeight="1" thickBot="1" x14ac:dyDescent="0.35">
      <c r="A37" s="95" t="str">
        <f t="shared" si="8"/>
        <v>4c</v>
      </c>
      <c r="B37" s="245"/>
      <c r="C37" s="232"/>
      <c r="D37" s="225"/>
      <c r="E37" s="77" t="s">
        <v>39</v>
      </c>
      <c r="F37" s="79" t="s">
        <v>76</v>
      </c>
      <c r="G37" s="105" t="s">
        <v>38</v>
      </c>
      <c r="H37" s="107" t="s">
        <v>206</v>
      </c>
      <c r="I37" s="100" t="str">
        <f t="shared" si="2"/>
        <v>Mantenimiento del control</v>
      </c>
      <c r="J37" s="97">
        <f t="shared" si="5"/>
        <v>40</v>
      </c>
      <c r="K37" s="102">
        <v>0.23456789123399999</v>
      </c>
      <c r="L37" s="97">
        <f t="shared" si="6"/>
        <v>40.234567891234001</v>
      </c>
      <c r="M37" s="45"/>
      <c r="N37" s="45"/>
      <c r="O37" s="45"/>
      <c r="P37" s="45"/>
      <c r="Q37" s="45"/>
    </row>
    <row r="38" spans="1:32" s="46" customFormat="1" ht="85.5" customHeight="1" thickBot="1" x14ac:dyDescent="0.35">
      <c r="A38" s="95" t="str">
        <f>5&amp;E38</f>
        <v>5a</v>
      </c>
      <c r="B38" s="246" t="s">
        <v>77</v>
      </c>
      <c r="C38" s="234" t="s">
        <v>78</v>
      </c>
      <c r="D38" s="249" t="s">
        <v>79</v>
      </c>
      <c r="E38" s="75" t="s">
        <v>34</v>
      </c>
      <c r="F38" s="76" t="s">
        <v>80</v>
      </c>
      <c r="G38" s="103" t="s">
        <v>38</v>
      </c>
      <c r="H38" s="104" t="s">
        <v>200</v>
      </c>
      <c r="I38" s="96" t="str">
        <f t="shared" si="2"/>
        <v>Mantenimiento del control</v>
      </c>
      <c r="J38" s="97">
        <f>+IF(G38="Si",60,IF(G38="En proceso",50,40))</f>
        <v>60</v>
      </c>
      <c r="K38" s="97">
        <v>0.31</v>
      </c>
      <c r="L38" s="97">
        <f t="shared" si="3"/>
        <v>60.31</v>
      </c>
    </row>
    <row r="39" spans="1:32" s="46" customFormat="1" ht="69" x14ac:dyDescent="0.3">
      <c r="A39" s="95" t="str">
        <f t="shared" ref="A39:A42" si="9">5&amp;E39</f>
        <v>5b</v>
      </c>
      <c r="B39" s="247"/>
      <c r="C39" s="235"/>
      <c r="D39" s="250"/>
      <c r="E39" s="77" t="s">
        <v>36</v>
      </c>
      <c r="F39" s="79" t="s">
        <v>81</v>
      </c>
      <c r="G39" s="105" t="s">
        <v>38</v>
      </c>
      <c r="H39" s="104" t="s">
        <v>207</v>
      </c>
      <c r="I39" s="100" t="str">
        <f t="shared" si="2"/>
        <v>Mantenimiento del control</v>
      </c>
      <c r="J39" s="97">
        <f>+IF(G39="Si",60,IF(G39="En proceso",50,40))</f>
        <v>60</v>
      </c>
      <c r="K39" s="97">
        <v>0.32300000000000001</v>
      </c>
      <c r="L39" s="97">
        <f t="shared" si="3"/>
        <v>60.323</v>
      </c>
    </row>
    <row r="40" spans="1:32" s="46" customFormat="1" ht="69.599999999999994" thickBot="1" x14ac:dyDescent="0.35">
      <c r="A40" s="95" t="str">
        <f t="shared" si="9"/>
        <v>5c</v>
      </c>
      <c r="B40" s="247"/>
      <c r="C40" s="235"/>
      <c r="D40" s="250"/>
      <c r="E40" s="77" t="s">
        <v>39</v>
      </c>
      <c r="F40" s="79" t="s">
        <v>82</v>
      </c>
      <c r="G40" s="105" t="s">
        <v>38</v>
      </c>
      <c r="H40" s="107" t="s">
        <v>207</v>
      </c>
      <c r="I40" s="100" t="str">
        <f t="shared" si="2"/>
        <v>Mantenimiento del control</v>
      </c>
      <c r="J40" s="97">
        <f>+IF(G40="Si",60,IF(G40="En proceso",50,40))</f>
        <v>60</v>
      </c>
      <c r="K40" s="97">
        <v>0.32400000000000001</v>
      </c>
      <c r="L40" s="97">
        <f t="shared" si="3"/>
        <v>60.323999999999998</v>
      </c>
    </row>
    <row r="41" spans="1:32" s="46" customFormat="1" ht="93.6" x14ac:dyDescent="0.3">
      <c r="A41" s="95" t="str">
        <f t="shared" si="9"/>
        <v>5d</v>
      </c>
      <c r="B41" s="247"/>
      <c r="C41" s="235"/>
      <c r="D41" s="250"/>
      <c r="E41" s="77" t="s">
        <v>41</v>
      </c>
      <c r="F41" s="79" t="s">
        <v>83</v>
      </c>
      <c r="G41" s="105" t="s">
        <v>38</v>
      </c>
      <c r="H41" s="104" t="s">
        <v>200</v>
      </c>
      <c r="I41" s="100" t="str">
        <f t="shared" si="2"/>
        <v>Mantenimiento del control</v>
      </c>
      <c r="J41" s="97">
        <f>+IF(G41="Si",60,IF(G41="En proceso",50,40))</f>
        <v>60</v>
      </c>
      <c r="K41" s="97">
        <v>0.32500000000000001</v>
      </c>
      <c r="L41" s="97">
        <f t="shared" si="3"/>
        <v>60.325000000000003</v>
      </c>
    </row>
    <row r="42" spans="1:32" s="46" customFormat="1" ht="47.4" thickBot="1" x14ac:dyDescent="0.35">
      <c r="A42" s="95" t="str">
        <f t="shared" si="9"/>
        <v>5e</v>
      </c>
      <c r="B42" s="248"/>
      <c r="C42" s="236"/>
      <c r="D42" s="251"/>
      <c r="E42" s="80" t="s">
        <v>43</v>
      </c>
      <c r="F42" s="81" t="s">
        <v>84</v>
      </c>
      <c r="G42" s="108" t="s">
        <v>38</v>
      </c>
      <c r="H42" s="109" t="s">
        <v>209</v>
      </c>
      <c r="I42" s="101" t="str">
        <f t="shared" si="2"/>
        <v>Mantenimiento del control</v>
      </c>
      <c r="J42" s="97">
        <f>+IF(G42="Si",60,IF(G42="En proceso",50,40))</f>
        <v>60</v>
      </c>
      <c r="K42" s="97">
        <v>0.32600000000000001</v>
      </c>
      <c r="L42" s="97">
        <f t="shared" si="3"/>
        <v>60.326000000000001</v>
      </c>
    </row>
    <row r="43" spans="1:32" s="46" customFormat="1" ht="40.5" customHeight="1" x14ac:dyDescent="0.3">
      <c r="A43" s="95" t="str">
        <f>6&amp;E43</f>
        <v>6a</v>
      </c>
      <c r="B43" s="206" t="s">
        <v>85</v>
      </c>
      <c r="C43" s="237" t="s">
        <v>86</v>
      </c>
      <c r="D43" s="203" t="s">
        <v>87</v>
      </c>
      <c r="E43" s="75" t="s">
        <v>34</v>
      </c>
      <c r="F43" s="76" t="s">
        <v>88</v>
      </c>
      <c r="G43" s="103" t="s">
        <v>38</v>
      </c>
      <c r="H43" s="104" t="s">
        <v>211</v>
      </c>
      <c r="I43" s="96" t="str">
        <f t="shared" si="2"/>
        <v>Mantenimiento del control</v>
      </c>
      <c r="J43" s="97">
        <f t="shared" ref="J43:J49" si="10">+IF(G43="Si",80,IF(G43="En proceso",70,60))</f>
        <v>80</v>
      </c>
      <c r="K43" s="97">
        <v>0.41199999999999998</v>
      </c>
      <c r="L43" s="97">
        <f t="shared" si="3"/>
        <v>80.412000000000006</v>
      </c>
    </row>
    <row r="44" spans="1:32" s="46" customFormat="1" ht="33" customHeight="1" x14ac:dyDescent="0.3">
      <c r="A44" s="95" t="str">
        <f t="shared" ref="A44:A49" si="11">6&amp;E44</f>
        <v>6b</v>
      </c>
      <c r="B44" s="207"/>
      <c r="C44" s="238"/>
      <c r="D44" s="204"/>
      <c r="E44" s="77" t="s">
        <v>36</v>
      </c>
      <c r="F44" s="79" t="s">
        <v>89</v>
      </c>
      <c r="G44" s="105" t="s">
        <v>38</v>
      </c>
      <c r="H44" s="107" t="s">
        <v>191</v>
      </c>
      <c r="I44" s="100" t="str">
        <f t="shared" si="2"/>
        <v>Mantenimiento del control</v>
      </c>
      <c r="J44" s="97">
        <f t="shared" si="10"/>
        <v>80</v>
      </c>
      <c r="K44" s="97">
        <v>0.4123</v>
      </c>
      <c r="L44" s="97">
        <f t="shared" si="3"/>
        <v>80.412300000000002</v>
      </c>
    </row>
    <row r="45" spans="1:32" s="46" customFormat="1" ht="46.8" x14ac:dyDescent="0.3">
      <c r="A45" s="95" t="str">
        <f t="shared" si="11"/>
        <v>6c</v>
      </c>
      <c r="B45" s="207"/>
      <c r="C45" s="238"/>
      <c r="D45" s="204"/>
      <c r="E45" s="77" t="s">
        <v>39</v>
      </c>
      <c r="F45" s="79" t="s">
        <v>90</v>
      </c>
      <c r="G45" s="105" t="s">
        <v>38</v>
      </c>
      <c r="H45" s="107" t="s">
        <v>210</v>
      </c>
      <c r="I45" s="100" t="str">
        <f t="shared" si="2"/>
        <v>Mantenimiento del control</v>
      </c>
      <c r="J45" s="97">
        <f t="shared" si="10"/>
        <v>80</v>
      </c>
      <c r="K45" s="97">
        <v>0.41233999999999998</v>
      </c>
      <c r="L45" s="97">
        <f t="shared" si="3"/>
        <v>80.41234</v>
      </c>
    </row>
    <row r="46" spans="1:32" s="46" customFormat="1" ht="41.4" x14ac:dyDescent="0.3">
      <c r="A46" s="95" t="str">
        <f t="shared" si="11"/>
        <v>6d</v>
      </c>
      <c r="B46" s="207"/>
      <c r="C46" s="238"/>
      <c r="D46" s="204"/>
      <c r="E46" s="77" t="s">
        <v>41</v>
      </c>
      <c r="F46" s="79" t="s">
        <v>91</v>
      </c>
      <c r="G46" s="105" t="s">
        <v>75</v>
      </c>
      <c r="H46" s="107" t="s">
        <v>213</v>
      </c>
      <c r="I46" s="100" t="str">
        <f t="shared" si="2"/>
        <v>Oportunidad de mejora</v>
      </c>
      <c r="J46" s="97">
        <f t="shared" si="10"/>
        <v>70</v>
      </c>
      <c r="K46" s="97">
        <v>0.41234500000000002</v>
      </c>
      <c r="L46" s="97">
        <f t="shared" si="3"/>
        <v>70.412345000000002</v>
      </c>
    </row>
    <row r="47" spans="1:32" s="46" customFormat="1" ht="62.4" x14ac:dyDescent="0.3">
      <c r="A47" s="95" t="str">
        <f t="shared" si="11"/>
        <v>6e</v>
      </c>
      <c r="B47" s="207"/>
      <c r="C47" s="238"/>
      <c r="D47" s="204"/>
      <c r="E47" s="77" t="s">
        <v>43</v>
      </c>
      <c r="F47" s="79" t="s">
        <v>92</v>
      </c>
      <c r="G47" s="105" t="s">
        <v>75</v>
      </c>
      <c r="H47" s="107" t="s">
        <v>212</v>
      </c>
      <c r="I47" s="100" t="str">
        <f t="shared" si="2"/>
        <v>Oportunidad de mejora</v>
      </c>
      <c r="J47" s="97">
        <f t="shared" si="10"/>
        <v>70</v>
      </c>
      <c r="K47" s="97">
        <v>0.41234559999999998</v>
      </c>
      <c r="L47" s="97">
        <f t="shared" si="3"/>
        <v>70.412345599999995</v>
      </c>
    </row>
    <row r="48" spans="1:32" s="46" customFormat="1" ht="46.8" x14ac:dyDescent="0.3">
      <c r="A48" s="95" t="str">
        <f t="shared" si="11"/>
        <v>6f</v>
      </c>
      <c r="B48" s="207"/>
      <c r="C48" s="238"/>
      <c r="D48" s="204"/>
      <c r="E48" s="77" t="s">
        <v>45</v>
      </c>
      <c r="F48" s="79" t="s">
        <v>93</v>
      </c>
      <c r="G48" s="105" t="s">
        <v>38</v>
      </c>
      <c r="H48" s="107" t="s">
        <v>195</v>
      </c>
      <c r="I48" s="100" t="str">
        <f t="shared" si="2"/>
        <v>Mantenimiento del control</v>
      </c>
      <c r="J48" s="97">
        <f t="shared" si="10"/>
        <v>80</v>
      </c>
      <c r="K48" s="97">
        <v>0.41234567</v>
      </c>
      <c r="L48" s="97">
        <f t="shared" si="3"/>
        <v>80.412345669999993</v>
      </c>
    </row>
    <row r="49" spans="1:17" s="46" customFormat="1" ht="47.4" thickBot="1" x14ac:dyDescent="0.35">
      <c r="A49" s="95" t="str">
        <f t="shared" si="11"/>
        <v>6g</v>
      </c>
      <c r="B49" s="208"/>
      <c r="C49" s="239"/>
      <c r="D49" s="205"/>
      <c r="E49" s="80" t="s">
        <v>47</v>
      </c>
      <c r="F49" s="81" t="s">
        <v>94</v>
      </c>
      <c r="G49" s="108" t="s">
        <v>75</v>
      </c>
      <c r="H49" s="109" t="s">
        <v>214</v>
      </c>
      <c r="I49" s="101" t="str">
        <f t="shared" si="2"/>
        <v>Oportunidad de mejora</v>
      </c>
      <c r="J49" s="97">
        <f t="shared" si="10"/>
        <v>70</v>
      </c>
      <c r="K49" s="97">
        <v>0.41234567799999999</v>
      </c>
      <c r="L49" s="97">
        <f t="shared" si="3"/>
        <v>70.412345677999994</v>
      </c>
    </row>
    <row r="50" spans="1:17" s="46" customFormat="1" ht="54.75" customHeight="1" x14ac:dyDescent="0.3">
      <c r="A50" s="95" t="str">
        <f>7&amp;E50</f>
        <v>7a</v>
      </c>
      <c r="B50" s="212" t="s">
        <v>95</v>
      </c>
      <c r="C50" s="240" t="s">
        <v>96</v>
      </c>
      <c r="D50" s="209" t="s">
        <v>97</v>
      </c>
      <c r="E50" s="75" t="s">
        <v>34</v>
      </c>
      <c r="F50" s="76" t="s">
        <v>98</v>
      </c>
      <c r="G50" s="103" t="s">
        <v>38</v>
      </c>
      <c r="H50" s="104" t="s">
        <v>192</v>
      </c>
      <c r="I50" s="96" t="str">
        <f t="shared" si="2"/>
        <v>Mantenimiento del control</v>
      </c>
      <c r="J50" s="97">
        <f>+IF(G50="Si",120,IF(G50="En proceso",100,80))</f>
        <v>120</v>
      </c>
      <c r="K50" s="97">
        <v>0.85099999999999998</v>
      </c>
      <c r="L50" s="97">
        <f t="shared" si="3"/>
        <v>120.851</v>
      </c>
    </row>
    <row r="51" spans="1:17" s="46" customFormat="1" ht="78" x14ac:dyDescent="0.3">
      <c r="A51" s="95" t="str">
        <f t="shared" ref="A51:A53" si="12">7&amp;E51</f>
        <v>7d</v>
      </c>
      <c r="B51" s="213"/>
      <c r="C51" s="241"/>
      <c r="D51" s="210"/>
      <c r="E51" s="77" t="s">
        <v>41</v>
      </c>
      <c r="F51" s="79" t="s">
        <v>99</v>
      </c>
      <c r="G51" s="105" t="s">
        <v>38</v>
      </c>
      <c r="H51" s="107" t="s">
        <v>215</v>
      </c>
      <c r="I51" s="100" t="str">
        <f t="shared" si="2"/>
        <v>Mantenimiento del control</v>
      </c>
      <c r="J51" s="97">
        <f t="shared" ref="J51:J59" si="13">+IF(G51="Si",120,IF(G51="En proceso",100,80))</f>
        <v>120</v>
      </c>
      <c r="K51" s="97">
        <v>0.85119999999999996</v>
      </c>
      <c r="L51" s="97">
        <f t="shared" si="3"/>
        <v>120.85120000000001</v>
      </c>
    </row>
    <row r="52" spans="1:17" s="46" customFormat="1" ht="46.8" x14ac:dyDescent="0.3">
      <c r="A52" s="95" t="str">
        <f t="shared" si="12"/>
        <v>7f</v>
      </c>
      <c r="B52" s="213"/>
      <c r="C52" s="241"/>
      <c r="D52" s="210"/>
      <c r="E52" s="77" t="s">
        <v>45</v>
      </c>
      <c r="F52" s="79" t="s">
        <v>100</v>
      </c>
      <c r="G52" s="105" t="s">
        <v>38</v>
      </c>
      <c r="H52" s="107" t="s">
        <v>216</v>
      </c>
      <c r="I52" s="100" t="str">
        <f t="shared" si="2"/>
        <v>Mantenimiento del control</v>
      </c>
      <c r="J52" s="97">
        <f t="shared" si="13"/>
        <v>120</v>
      </c>
      <c r="K52" s="97">
        <v>0.85123000000000004</v>
      </c>
      <c r="L52" s="97">
        <f t="shared" si="3"/>
        <v>120.85123</v>
      </c>
    </row>
    <row r="53" spans="1:17" s="46" customFormat="1" ht="42" thickBot="1" x14ac:dyDescent="0.35">
      <c r="A53" s="95" t="str">
        <f t="shared" si="12"/>
        <v>7g</v>
      </c>
      <c r="B53" s="214"/>
      <c r="C53" s="242"/>
      <c r="D53" s="211"/>
      <c r="E53" s="80" t="s">
        <v>47</v>
      </c>
      <c r="F53" s="81" t="s">
        <v>101</v>
      </c>
      <c r="G53" s="108" t="s">
        <v>38</v>
      </c>
      <c r="H53" s="109" t="s">
        <v>193</v>
      </c>
      <c r="I53" s="101" t="str">
        <f t="shared" si="2"/>
        <v>Mantenimiento del control</v>
      </c>
      <c r="J53" s="97">
        <f t="shared" si="13"/>
        <v>120</v>
      </c>
      <c r="K53" s="97">
        <v>0.85123400000000005</v>
      </c>
      <c r="L53" s="97">
        <f t="shared" si="3"/>
        <v>120.85123400000001</v>
      </c>
    </row>
    <row r="54" spans="1:17" s="46" customFormat="1" ht="102.75" customHeight="1" thickBot="1" x14ac:dyDescent="0.35">
      <c r="A54" s="95" t="str">
        <f>8&amp;E54</f>
        <v>8h</v>
      </c>
      <c r="B54" s="150" t="s">
        <v>102</v>
      </c>
      <c r="C54" s="151" t="s">
        <v>96</v>
      </c>
      <c r="D54" s="70" t="s">
        <v>103</v>
      </c>
      <c r="E54" s="75" t="s">
        <v>49</v>
      </c>
      <c r="F54" s="76" t="s">
        <v>104</v>
      </c>
      <c r="G54" s="103" t="s">
        <v>38</v>
      </c>
      <c r="H54" s="104" t="s">
        <v>217</v>
      </c>
      <c r="I54" s="96" t="str">
        <f t="shared" si="2"/>
        <v>Mantenimiento del control</v>
      </c>
      <c r="J54" s="97">
        <f t="shared" si="13"/>
        <v>120</v>
      </c>
      <c r="K54" s="97">
        <v>0.85123450000000001</v>
      </c>
      <c r="L54" s="97">
        <f t="shared" si="3"/>
        <v>120.8512345</v>
      </c>
    </row>
    <row r="55" spans="1:17" s="46" customFormat="1" ht="54.75" customHeight="1" x14ac:dyDescent="0.3">
      <c r="A55" s="95" t="str">
        <f>9&amp;E55</f>
        <v>9a</v>
      </c>
      <c r="B55" s="212" t="s">
        <v>105</v>
      </c>
      <c r="C55" s="240" t="s">
        <v>96</v>
      </c>
      <c r="D55" s="209" t="s">
        <v>106</v>
      </c>
      <c r="E55" s="75" t="s">
        <v>34</v>
      </c>
      <c r="F55" s="76" t="s">
        <v>107</v>
      </c>
      <c r="G55" s="103" t="s">
        <v>38</v>
      </c>
      <c r="H55" s="104" t="s">
        <v>218</v>
      </c>
      <c r="I55" s="96" t="str">
        <f t="shared" si="2"/>
        <v>Mantenimiento del control</v>
      </c>
      <c r="J55" s="97">
        <f t="shared" si="13"/>
        <v>120</v>
      </c>
      <c r="K55" s="102">
        <v>0.85123455999999997</v>
      </c>
      <c r="L55" s="97">
        <f t="shared" si="3"/>
        <v>120.85123455999999</v>
      </c>
      <c r="M55" s="45"/>
      <c r="N55" s="45"/>
      <c r="O55" s="45"/>
      <c r="P55" s="45"/>
      <c r="Q55" s="45"/>
    </row>
    <row r="56" spans="1:17" s="46" customFormat="1" ht="55.5" customHeight="1" x14ac:dyDescent="0.3">
      <c r="A56" s="95" t="str">
        <f t="shared" ref="A56:A59" si="14">9&amp;E56</f>
        <v>9b</v>
      </c>
      <c r="B56" s="213"/>
      <c r="C56" s="241"/>
      <c r="D56" s="210"/>
      <c r="E56" s="77" t="s">
        <v>36</v>
      </c>
      <c r="F56" s="79" t="s">
        <v>108</v>
      </c>
      <c r="G56" s="105" t="s">
        <v>38</v>
      </c>
      <c r="H56" s="107" t="s">
        <v>219</v>
      </c>
      <c r="I56" s="100" t="str">
        <f t="shared" si="2"/>
        <v>Mantenimiento del control</v>
      </c>
      <c r="J56" s="97">
        <f t="shared" si="13"/>
        <v>120</v>
      </c>
      <c r="K56" s="102">
        <v>0.851234567</v>
      </c>
      <c r="L56" s="97">
        <f t="shared" si="3"/>
        <v>120.85123456700001</v>
      </c>
      <c r="M56" s="45"/>
      <c r="N56" s="45"/>
      <c r="O56" s="45"/>
      <c r="P56" s="45"/>
      <c r="Q56" s="45"/>
    </row>
    <row r="57" spans="1:17" s="46" customFormat="1" ht="77.25" customHeight="1" x14ac:dyDescent="0.3">
      <c r="A57" s="95" t="str">
        <f t="shared" si="14"/>
        <v>9c</v>
      </c>
      <c r="B57" s="213"/>
      <c r="C57" s="241"/>
      <c r="D57" s="210"/>
      <c r="E57" s="77" t="s">
        <v>39</v>
      </c>
      <c r="F57" s="79" t="s">
        <v>109</v>
      </c>
      <c r="G57" s="105" t="s">
        <v>38</v>
      </c>
      <c r="H57" s="107" t="s">
        <v>219</v>
      </c>
      <c r="I57" s="100" t="str">
        <f t="shared" si="2"/>
        <v>Mantenimiento del control</v>
      </c>
      <c r="J57" s="97">
        <f t="shared" si="13"/>
        <v>120</v>
      </c>
      <c r="K57" s="102">
        <v>0.85123456779999995</v>
      </c>
      <c r="L57" s="97">
        <f t="shared" si="3"/>
        <v>120.85123456780001</v>
      </c>
      <c r="M57" s="45"/>
      <c r="N57" s="45"/>
      <c r="O57" s="45"/>
      <c r="P57" s="45"/>
      <c r="Q57" s="45"/>
    </row>
    <row r="58" spans="1:17" s="46" customFormat="1" ht="77.25" customHeight="1" x14ac:dyDescent="0.3">
      <c r="A58" s="95" t="str">
        <f t="shared" si="14"/>
        <v>9d</v>
      </c>
      <c r="B58" s="213"/>
      <c r="C58" s="241"/>
      <c r="D58" s="210"/>
      <c r="E58" s="77" t="s">
        <v>41</v>
      </c>
      <c r="F58" s="79" t="s">
        <v>110</v>
      </c>
      <c r="G58" s="105" t="s">
        <v>38</v>
      </c>
      <c r="H58" s="107" t="s">
        <v>219</v>
      </c>
      <c r="I58" s="100" t="str">
        <f t="shared" si="2"/>
        <v>Mantenimiento del control</v>
      </c>
      <c r="J58" s="97">
        <f t="shared" si="13"/>
        <v>120</v>
      </c>
      <c r="K58" s="102">
        <v>0.85123456788999996</v>
      </c>
      <c r="L58" s="97">
        <f t="shared" si="3"/>
        <v>120.85123456789</v>
      </c>
      <c r="M58" s="45"/>
      <c r="N58" s="45"/>
      <c r="O58" s="45"/>
      <c r="P58" s="45"/>
      <c r="Q58" s="45"/>
    </row>
    <row r="59" spans="1:17" s="46" customFormat="1" ht="77.25" customHeight="1" thickBot="1" x14ac:dyDescent="0.35">
      <c r="A59" s="95" t="str">
        <f t="shared" si="14"/>
        <v>9e</v>
      </c>
      <c r="B59" s="214"/>
      <c r="C59" s="241"/>
      <c r="D59" s="227"/>
      <c r="E59" s="80" t="s">
        <v>43</v>
      </c>
      <c r="F59" s="81" t="s">
        <v>111</v>
      </c>
      <c r="G59" s="108" t="s">
        <v>38</v>
      </c>
      <c r="H59" s="109" t="s">
        <v>219</v>
      </c>
      <c r="I59" s="101" t="str">
        <f t="shared" si="2"/>
        <v>Mantenimiento del control</v>
      </c>
      <c r="J59" s="97">
        <f t="shared" si="13"/>
        <v>120</v>
      </c>
      <c r="K59" s="102">
        <v>0.85123456789100005</v>
      </c>
      <c r="L59" s="97">
        <f t="shared" si="3"/>
        <v>120.851234567891</v>
      </c>
      <c r="M59" s="45"/>
      <c r="N59" s="45"/>
      <c r="O59" s="45"/>
      <c r="P59" s="45"/>
      <c r="Q59" s="45"/>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 ref="B14:I14"/>
    <mergeCell ref="D43:D49"/>
    <mergeCell ref="B43:B49"/>
    <mergeCell ref="D50:D53"/>
    <mergeCell ref="B50:B53"/>
    <mergeCell ref="D16:D27"/>
    <mergeCell ref="B16:B27"/>
    <mergeCell ref="B28:B31"/>
    <mergeCell ref="D28:D31"/>
  </mergeCells>
  <dataValidations count="2">
    <dataValidation type="list" allowBlank="1" showInputMessage="1" showErrorMessage="1" sqref="G55:G59 G16:G53" xr:uid="{00000000-0002-0000-0100-000000000000}">
      <formula1>"Si, No, En proceso"</formula1>
    </dataValidation>
    <dataValidation type="list" allowBlank="1" showInputMessage="1" showErrorMessage="1" sqref="G54" xr:uid="{00000000-0002-0000-0100-000001000000}">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4"/>
  <sheetViews>
    <sheetView topLeftCell="A13" zoomScale="80" zoomScaleNormal="80" workbookViewId="0">
      <selection activeCell="G19" sqref="G19"/>
    </sheetView>
  </sheetViews>
  <sheetFormatPr baseColWidth="10" defaultColWidth="11.44140625" defaultRowHeight="14.4" x14ac:dyDescent="0.3"/>
  <cols>
    <col min="3" max="3" width="22.88671875" customWidth="1"/>
    <col min="4" max="4" width="22.5546875" customWidth="1"/>
    <col min="5" max="5" width="53.44140625" customWidth="1"/>
    <col min="7" max="7" width="28.33203125" customWidth="1"/>
    <col min="8" max="8" width="4.88671875" customWidth="1"/>
    <col min="9" max="9" width="15.33203125" customWidth="1"/>
    <col min="10" max="10" width="22.44140625" customWidth="1"/>
    <col min="11" max="29" width="11.44140625" style="1"/>
  </cols>
  <sheetData>
    <row r="1" spans="1:11" x14ac:dyDescent="0.3">
      <c r="A1" s="1"/>
      <c r="B1" s="1"/>
      <c r="C1" s="1"/>
      <c r="D1" s="1"/>
      <c r="E1" s="1"/>
      <c r="F1" s="1"/>
      <c r="G1" s="1"/>
      <c r="H1" s="1"/>
      <c r="I1" s="1"/>
      <c r="J1" s="1"/>
    </row>
    <row r="2" spans="1:11" s="1" customFormat="1" x14ac:dyDescent="0.3"/>
    <row r="3" spans="1:11" s="1" customFormat="1" x14ac:dyDescent="0.3"/>
    <row r="4" spans="1:11" x14ac:dyDescent="0.3">
      <c r="A4" s="1"/>
      <c r="B4" s="1"/>
      <c r="C4" s="1"/>
      <c r="D4" s="1"/>
      <c r="E4" s="1"/>
      <c r="F4" s="1"/>
      <c r="G4" s="1"/>
      <c r="H4" s="1"/>
      <c r="I4" s="1"/>
      <c r="J4" s="1"/>
    </row>
    <row r="5" spans="1:11" x14ac:dyDescent="0.3">
      <c r="A5" s="1"/>
      <c r="B5" s="1"/>
      <c r="C5" s="1"/>
      <c r="D5" s="1"/>
      <c r="E5" s="1"/>
      <c r="F5" s="1"/>
      <c r="G5" s="1"/>
      <c r="H5" s="1"/>
      <c r="I5" s="1"/>
      <c r="J5" s="1"/>
    </row>
    <row r="6" spans="1:11" ht="15" thickBot="1" x14ac:dyDescent="0.35">
      <c r="A6" s="1"/>
      <c r="B6" s="1"/>
      <c r="C6" s="1"/>
      <c r="D6" s="1"/>
      <c r="E6" s="1"/>
      <c r="F6" s="1"/>
      <c r="G6" s="1"/>
      <c r="H6" s="1"/>
      <c r="I6" s="1"/>
      <c r="J6" s="1"/>
    </row>
    <row r="7" spans="1:11" ht="25.8" thickBot="1" x14ac:dyDescent="0.35">
      <c r="A7" s="1"/>
      <c r="B7" s="1"/>
      <c r="C7" s="252" t="s">
        <v>112</v>
      </c>
      <c r="D7" s="253"/>
      <c r="E7" s="253"/>
      <c r="F7" s="253"/>
      <c r="G7" s="253"/>
      <c r="H7" s="253"/>
      <c r="I7" s="253"/>
      <c r="J7" s="253"/>
      <c r="K7" s="254"/>
    </row>
    <row r="8" spans="1:11" s="1" customFormat="1" ht="15" thickBot="1" x14ac:dyDescent="0.35">
      <c r="C8" s="36"/>
      <c r="D8" s="36"/>
      <c r="E8" s="37"/>
      <c r="F8" s="37"/>
      <c r="G8" s="37"/>
      <c r="H8" s="37"/>
      <c r="I8" s="47"/>
      <c r="J8" s="37"/>
      <c r="K8" s="37"/>
    </row>
    <row r="9" spans="1:11" ht="21" thickBot="1" x14ac:dyDescent="0.35">
      <c r="A9" s="1"/>
      <c r="B9" s="1"/>
      <c r="C9" s="161" t="s">
        <v>15</v>
      </c>
      <c r="D9" s="162"/>
      <c r="E9" s="162" t="s">
        <v>16</v>
      </c>
      <c r="F9" s="173"/>
      <c r="G9" s="37"/>
      <c r="H9" s="37"/>
      <c r="I9" s="47"/>
      <c r="J9" s="37"/>
      <c r="K9" s="37"/>
    </row>
    <row r="10" spans="1:11" ht="54" customHeight="1" x14ac:dyDescent="0.3">
      <c r="A10" s="1"/>
      <c r="B10" s="1"/>
      <c r="C10" s="174" t="s">
        <v>17</v>
      </c>
      <c r="D10" s="175"/>
      <c r="E10" s="176" t="s">
        <v>18</v>
      </c>
      <c r="F10" s="177"/>
      <c r="G10" s="38"/>
      <c r="H10" s="39">
        <v>1</v>
      </c>
      <c r="I10" s="47"/>
      <c r="J10" s="37"/>
      <c r="K10" s="37"/>
    </row>
    <row r="11" spans="1:11" ht="46.5" customHeight="1" x14ac:dyDescent="0.3">
      <c r="A11" s="1"/>
      <c r="B11" s="1"/>
      <c r="C11" s="163" t="s">
        <v>19</v>
      </c>
      <c r="D11" s="164"/>
      <c r="E11" s="165" t="s">
        <v>113</v>
      </c>
      <c r="F11" s="166"/>
      <c r="G11" s="40" t="s">
        <v>114</v>
      </c>
      <c r="H11" s="39">
        <v>0.75</v>
      </c>
      <c r="I11" s="47"/>
      <c r="J11" s="37"/>
      <c r="K11" s="37"/>
    </row>
    <row r="12" spans="1:11" ht="70.5" customHeight="1" thickBot="1" x14ac:dyDescent="0.35">
      <c r="A12" s="1"/>
      <c r="B12" s="1"/>
      <c r="C12" s="167" t="s">
        <v>21</v>
      </c>
      <c r="D12" s="168"/>
      <c r="E12" s="169" t="s">
        <v>115</v>
      </c>
      <c r="F12" s="170"/>
      <c r="G12" s="41"/>
      <c r="H12" s="39">
        <v>0.25</v>
      </c>
      <c r="I12" s="47"/>
      <c r="J12" s="37"/>
      <c r="K12" s="37"/>
    </row>
    <row r="13" spans="1:11" s="1" customFormat="1" x14ac:dyDescent="0.3"/>
    <row r="14" spans="1:11" s="1" customFormat="1" x14ac:dyDescent="0.3"/>
    <row r="15" spans="1:11" s="1" customFormat="1" x14ac:dyDescent="0.3"/>
    <row r="16" spans="1:11" s="1" customFormat="1" ht="15" thickBot="1" x14ac:dyDescent="0.35"/>
    <row r="17" spans="1:10" x14ac:dyDescent="0.3">
      <c r="A17" s="1"/>
      <c r="B17" s="1"/>
      <c r="C17" s="260" t="s">
        <v>116</v>
      </c>
      <c r="D17" s="262" t="s">
        <v>117</v>
      </c>
      <c r="E17" s="263"/>
      <c r="F17" s="264" t="s">
        <v>118</v>
      </c>
      <c r="G17" s="266" t="s">
        <v>119</v>
      </c>
      <c r="H17" s="35"/>
      <c r="I17" s="255" t="s">
        <v>120</v>
      </c>
      <c r="J17" s="255" t="s">
        <v>121</v>
      </c>
    </row>
    <row r="18" spans="1:10" ht="36" customHeight="1" thickBot="1" x14ac:dyDescent="0.35">
      <c r="A18" s="1"/>
      <c r="B18" s="1"/>
      <c r="C18" s="261"/>
      <c r="D18" s="110" t="s">
        <v>122</v>
      </c>
      <c r="E18" s="111" t="s">
        <v>27</v>
      </c>
      <c r="F18" s="265"/>
      <c r="G18" s="267"/>
      <c r="H18" s="35"/>
      <c r="I18" s="256"/>
      <c r="J18" s="256"/>
    </row>
    <row r="19" spans="1:10" ht="65.25" customHeight="1" x14ac:dyDescent="0.3">
      <c r="A19" s="1"/>
      <c r="B19" s="1"/>
      <c r="C19" s="129">
        <v>1</v>
      </c>
      <c r="D19" s="257" t="s">
        <v>32</v>
      </c>
      <c r="E19" s="112" t="str">
        <f>+IFERROR(INDEX(Hoja1!$E$2:$E$45,MATCH('Análisis Resultados'!C19,Hoja1!$H$2:$H$45,0)),"")</f>
        <v>Evaluación a los servidores públicos de acuerdo con el marco normativo que le rige</v>
      </c>
      <c r="F19" s="113" t="str">
        <f>+IFERROR(VLOOKUP(C19,Hoja1!$H$2:$I$45,2,0),"")</f>
        <v>En proceso</v>
      </c>
      <c r="G19" s="114"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I19" s="130">
        <f>+IF(F19="Si",1,IF(F19="En proceso",0.5,0))</f>
        <v>0.5</v>
      </c>
      <c r="J19" s="270">
        <f>+AVERAGE(I19:I30)</f>
        <v>0.91666666666666663</v>
      </c>
    </row>
    <row r="20" spans="1:10" ht="30.6" x14ac:dyDescent="0.3">
      <c r="A20" s="1"/>
      <c r="B20" s="1"/>
      <c r="C20" s="129">
        <v>2</v>
      </c>
      <c r="D20" s="258"/>
      <c r="E20" s="115" t="str">
        <f>+IFERROR(INDEX(Hoja1!$E$2:$E$45,MATCH('Análisis Resultados'!C20,Hoja1!$H$2:$H$45,0)),"")</f>
        <v>Procesos de desvinculación de servidores de acuerdo con lo previsto en la Constitución Política y las leyes</v>
      </c>
      <c r="F20" s="116" t="str">
        <f>+IFERROR(VLOOKUP(C20,Hoja1!$H$2:$I$45,2,0),"")</f>
        <v>En proceso</v>
      </c>
      <c r="G20" s="117"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I20" s="131">
        <f t="shared" ref="I20:I62" si="1">+IF(F20="Si",1,IF(F20="En proceso",0.5,0))</f>
        <v>0.5</v>
      </c>
      <c r="J20" s="271"/>
    </row>
    <row r="21" spans="1:10" ht="41.4" x14ac:dyDescent="0.3">
      <c r="A21" s="1"/>
      <c r="B21" s="1"/>
      <c r="C21" s="129">
        <v>3</v>
      </c>
      <c r="D21" s="258"/>
      <c r="E21" s="115" t="str">
        <f>+IFERROR(INDEX(Hoja1!$E$2:$E$45,MATCH('Análisis Resultados'!C21,Hoja1!$H$2:$H$45,0)),"")</f>
        <v>Documento interno o adopción del MECI actualizado</v>
      </c>
      <c r="F21" s="116" t="str">
        <f>+IFERROR(VLOOKUP(C21,Hoja1!$H$2:$I$45,2,0),"")</f>
        <v>Si</v>
      </c>
      <c r="G21" s="117" t="str">
        <f t="shared" si="0"/>
        <v>Existe requerimiento pero se requiere actividades  dirigidas a su mantenimiento dentro del marco de las lineas de defensa.</v>
      </c>
      <c r="I21" s="131">
        <f t="shared" si="1"/>
        <v>1</v>
      </c>
      <c r="J21" s="271"/>
    </row>
    <row r="22" spans="1:10" ht="56.25" customHeight="1" x14ac:dyDescent="0.3">
      <c r="A22" s="1"/>
      <c r="B22" s="1"/>
      <c r="C22" s="129">
        <v>4</v>
      </c>
      <c r="D22" s="258"/>
      <c r="E22" s="115" t="str">
        <f>+IFERROR(INDEX(Hoja1!$E$2:$E$45,MATCH('Análisis Resultados'!C22,Hoja1!$H$2:$H$45,0)),"")</f>
        <v>Un documento tal como un código de ética, integridad u otro que formalice los estándares de conducta, los principios institucionales o los valores del servicio público</v>
      </c>
      <c r="F22" s="116" t="str">
        <f>+IFERROR(VLOOKUP(C22,Hoja1!$H$2:$I$45,2,0),"")</f>
        <v>Si</v>
      </c>
      <c r="G22" s="117" t="str">
        <f t="shared" si="0"/>
        <v>Existe requerimiento pero se requiere actividades  dirigidas a su mantenimiento dentro del marco de las lineas de defensa.</v>
      </c>
      <c r="I22" s="131">
        <f t="shared" si="1"/>
        <v>1</v>
      </c>
      <c r="J22" s="271"/>
    </row>
    <row r="23" spans="1:10" ht="30.6" x14ac:dyDescent="0.3">
      <c r="A23" s="1"/>
      <c r="B23" s="1"/>
      <c r="C23" s="129">
        <v>5</v>
      </c>
      <c r="D23" s="258"/>
      <c r="E23" s="115" t="str">
        <f>+IFERROR(INDEX(Hoja1!$E$2:$E$45,MATCH('Análisis Resultados'!C23,Hoja1!$H$2:$H$45,0)),"")</f>
        <v>Planes, programas y proyectos de acuerdo con las normas que rigen y atendiendo con su propósito fundamental institucional (misión)</v>
      </c>
      <c r="F23" s="116" t="str">
        <f>+IFERROR(VLOOKUP(C23,Hoja1!$H$2:$I$45,2,0),"")</f>
        <v>Si</v>
      </c>
      <c r="G23" s="117" t="str">
        <f t="shared" si="0"/>
        <v>Existe requerimiento pero se requiere actividades  dirigidas a su mantenimiento dentro del marco de las lineas de defensa.</v>
      </c>
      <c r="I23" s="131">
        <f t="shared" si="1"/>
        <v>1</v>
      </c>
      <c r="J23" s="271"/>
    </row>
    <row r="24" spans="1:10" ht="30.6" x14ac:dyDescent="0.3">
      <c r="A24" s="1"/>
      <c r="B24" s="1"/>
      <c r="C24" s="129">
        <v>6</v>
      </c>
      <c r="D24" s="258"/>
      <c r="E24" s="115" t="str">
        <f>+IFERROR(INDEX(Hoja1!$E$2:$E$45,MATCH('Análisis Resultados'!C24,Hoja1!$H$2:$H$45,0)),"")</f>
        <v>Una estructura organizacional formalizada (organigrama)</v>
      </c>
      <c r="F24" s="116" t="str">
        <f>+IFERROR(VLOOKUP(C24,Hoja1!$H$2:$I$45,2,0),"")</f>
        <v>Si</v>
      </c>
      <c r="G24" s="117" t="str">
        <f t="shared" si="0"/>
        <v>Existe requerimiento pero se requiere actividades  dirigidas a su mantenimiento dentro del marco de las lineas de defensa.</v>
      </c>
      <c r="I24" s="131">
        <f t="shared" si="1"/>
        <v>1</v>
      </c>
      <c r="J24" s="271"/>
    </row>
    <row r="25" spans="1:10" ht="41.4" x14ac:dyDescent="0.3">
      <c r="A25" s="1"/>
      <c r="B25" s="1"/>
      <c r="C25" s="129">
        <v>7</v>
      </c>
      <c r="D25" s="258"/>
      <c r="E25" s="115" t="str">
        <f>+IFERROR(INDEX(Hoja1!$E$2:$E$45,MATCH('Análisis Resultados'!C25,Hoja1!$H$2:$H$45,0)),"")</f>
        <v>Un manual de funciones que describa los empleos de la entidad</v>
      </c>
      <c r="F25" s="116" t="str">
        <f>+IFERROR(VLOOKUP(C25,Hoja1!$H$2:$I$45,2,0),"")</f>
        <v>Si</v>
      </c>
      <c r="G25" s="117" t="str">
        <f t="shared" si="0"/>
        <v>Existe requerimiento pero se requiere actividades  dirigidas a su mantenimiento dentro del marco de las lineas de defensa.</v>
      </c>
      <c r="I25" s="131">
        <f t="shared" si="1"/>
        <v>1</v>
      </c>
      <c r="J25" s="271"/>
    </row>
    <row r="26" spans="1:10" ht="41.4" x14ac:dyDescent="0.3">
      <c r="A26" s="1"/>
      <c r="B26" s="1"/>
      <c r="C26" s="129">
        <v>8</v>
      </c>
      <c r="D26" s="258"/>
      <c r="E26" s="115" t="str">
        <f>+IFERROR(INDEX(Hoja1!$E$2:$E$45,MATCH('Análisis Resultados'!C26,Hoja1!$H$2:$H$45,0)),"")</f>
        <v>La documentación de sus procesos y procedimientos o bien una lista de actividades principales que permitan conocer el estado de su gestión</v>
      </c>
      <c r="F26" s="116" t="str">
        <f>+IFERROR(VLOOKUP(C26,Hoja1!$H$2:$I$45,2,0),"")</f>
        <v>Si</v>
      </c>
      <c r="G26" s="117" t="str">
        <f t="shared" si="0"/>
        <v>Existe requerimiento pero se requiere actividades  dirigidas a su mantenimiento dentro del marco de las lineas de defensa.</v>
      </c>
      <c r="I26" s="131">
        <f t="shared" si="1"/>
        <v>1</v>
      </c>
      <c r="J26" s="271"/>
    </row>
    <row r="27" spans="1:10" ht="41.4" x14ac:dyDescent="0.3">
      <c r="A27" s="1"/>
      <c r="B27" s="1"/>
      <c r="C27" s="129">
        <v>9</v>
      </c>
      <c r="D27" s="258"/>
      <c r="E27" s="115" t="str">
        <f>+IFERROR(INDEX(Hoja1!$E$2:$E$45,MATCH('Análisis Resultados'!C27,Hoja1!$H$2:$H$45,0)),"")</f>
        <v>Vinculación de los servidores públicos de acuerdo con el marco normativo que les rige (carrera administrativa, libre nombramiento y remoción, entre otros)</v>
      </c>
      <c r="F27" s="116" t="str">
        <f>+IFERROR(VLOOKUP(C27,Hoja1!$H$2:$I$45,2,0),"")</f>
        <v>Si</v>
      </c>
      <c r="G27" s="117" t="str">
        <f t="shared" si="0"/>
        <v>Existe requerimiento pero se requiere actividades  dirigidas a su mantenimiento dentro del marco de las lineas de defensa.</v>
      </c>
      <c r="I27" s="131">
        <f t="shared" si="1"/>
        <v>1</v>
      </c>
      <c r="J27" s="271"/>
    </row>
    <row r="28" spans="1:10" ht="30.6" x14ac:dyDescent="0.3">
      <c r="A28" s="1"/>
      <c r="B28" s="1"/>
      <c r="C28" s="129">
        <v>10</v>
      </c>
      <c r="D28" s="258"/>
      <c r="E28" s="115" t="str">
        <f>+IFERROR(INDEX(Hoja1!$E$2:$E$45,MATCH('Análisis Resultados'!C28,Hoja1!$H$2:$H$45,0)),"")</f>
        <v>Procesos de inducción, capacitación y bienestar social para sus servidores públicos, de manera directa o en asociación con otras entidades municipales</v>
      </c>
      <c r="F28" s="116" t="str">
        <f>+IFERROR(VLOOKUP(C28,Hoja1!$H$2:$I$45,2,0),"")</f>
        <v>Si</v>
      </c>
      <c r="G28" s="117" t="str">
        <f t="shared" si="0"/>
        <v>Existe requerimiento pero se requiere actividades  dirigidas a su mantenimiento dentro del marco de las lineas de defensa.</v>
      </c>
      <c r="I28" s="131">
        <f t="shared" si="1"/>
        <v>1</v>
      </c>
      <c r="J28" s="271"/>
    </row>
    <row r="29" spans="1:10" ht="30.6" x14ac:dyDescent="0.3">
      <c r="A29" s="1"/>
      <c r="B29" s="1"/>
      <c r="C29" s="129">
        <v>11</v>
      </c>
      <c r="D29" s="258"/>
      <c r="E29" s="115" t="str">
        <f>+IFERROR(INDEX(Hoja1!$E$2:$E$45,MATCH('Análisis Resultados'!C29,Hoja1!$H$2:$H$45,0)),"")</f>
        <v>Mecanismos de rendición de cuentas a la ciudadanía</v>
      </c>
      <c r="F29" s="116" t="str">
        <f>+IFERROR(VLOOKUP(C29,Hoja1!$H$2:$I$45,2,0),"")</f>
        <v>Si</v>
      </c>
      <c r="G29" s="117"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9" s="131">
        <f t="shared" si="1"/>
        <v>1</v>
      </c>
      <c r="J29" s="271"/>
    </row>
    <row r="30" spans="1:10" ht="31.2" thickBot="1" x14ac:dyDescent="0.35">
      <c r="A30" s="1"/>
      <c r="B30" s="1"/>
      <c r="C30" s="129">
        <v>12</v>
      </c>
      <c r="D30" s="259"/>
      <c r="E30" s="118" t="str">
        <f>+IFERROR(INDEX(Hoja1!$E$2:$E$45,MATCH('Análisis Resultados'!C30,Hoja1!$H$2:$H$45,0)),"")</f>
        <v>Presentación oportuna de sus informes de gestión a las autoridades competentes</v>
      </c>
      <c r="F30" s="119" t="str">
        <f>+IFERROR(VLOOKUP(C30,Hoja1!$H$2:$I$45,2,0),"")</f>
        <v>Si</v>
      </c>
      <c r="G30" s="120" t="str">
        <f t="shared" si="0"/>
        <v>Existe requerimiento pero se requiere actividades  dirigidas a su mantenimiento dentro del marco de las lineas de defensa.</v>
      </c>
      <c r="I30" s="132">
        <f t="shared" si="1"/>
        <v>1</v>
      </c>
      <c r="J30" s="272"/>
    </row>
    <row r="31" spans="1:10" ht="45" customHeight="1" x14ac:dyDescent="0.3">
      <c r="A31" s="1"/>
      <c r="B31" s="1"/>
      <c r="C31" s="129">
        <v>13</v>
      </c>
      <c r="D31" s="284" t="s">
        <v>60</v>
      </c>
      <c r="E31" s="112" t="str">
        <f>+IFERROR(INDEX(Hoja1!$E$2:$E$45,MATCH('Análisis Resultados'!C31,Hoja1!$H$2:$H$45,0)),"")</f>
        <v>Cada líder del equipo autónomamente toma las acciones para solucionarlos.</v>
      </c>
      <c r="F31" s="113" t="str">
        <f>+IFERROR(VLOOKUP(C31,Hoja1!$H$2:$I$45,2,0),"")</f>
        <v>En proceso</v>
      </c>
      <c r="G31" s="114" t="str">
        <f t="shared" si="0"/>
        <v>Se encuentra en proceso, pero requiere continuar con acciones dirigidas a contar con dicho aspecto de control.</v>
      </c>
      <c r="I31" s="130">
        <f t="shared" si="1"/>
        <v>0.5</v>
      </c>
      <c r="J31" s="268">
        <f>+AVERAGE(I31:I40)</f>
        <v>0.95</v>
      </c>
    </row>
    <row r="32" spans="1:10" ht="57" customHeight="1" x14ac:dyDescent="0.3">
      <c r="A32" s="1"/>
      <c r="B32" s="1"/>
      <c r="C32" s="129">
        <v>14</v>
      </c>
      <c r="D32" s="285"/>
      <c r="E32" s="115" t="str">
        <f>+IFERROR(INDEX(Hoja1!$E$2:$E$45,MATCH('Análisis Resultados'!C32,Hoja1!$H$2:$H$45,0)),"")</f>
        <v>La identificación de cambios en su entorno que pueden generar consecuencias negativas en su gestión</v>
      </c>
      <c r="F32" s="116" t="str">
        <f>+IFERROR(VLOOKUP(C32,Hoja1!$H$2:$I$45,2,0),"")</f>
        <v>Si</v>
      </c>
      <c r="G32" s="117" t="str">
        <f t="shared" si="0"/>
        <v>Existe requerimiento pero se requiere actividades  dirigidas a su mantenimiento dentro del marco de las lineas de defensa.</v>
      </c>
      <c r="I32" s="131">
        <f t="shared" si="1"/>
        <v>1</v>
      </c>
      <c r="J32" s="269"/>
    </row>
    <row r="33" spans="1:10" ht="54" customHeight="1" x14ac:dyDescent="0.3">
      <c r="A33" s="1"/>
      <c r="B33" s="1"/>
      <c r="C33" s="129">
        <v>15</v>
      </c>
      <c r="D33" s="285"/>
      <c r="E33" s="115" t="str">
        <f>+IFERROR(INDEX(Hoja1!$E$2:$E$45,MATCH('Análisis Resultados'!C33,Hoja1!$H$2:$H$45,0)),"")</f>
        <v>La identificación de aquellos problemas o aspectos que pueden afectar el cumplimiento de los planes de la entidad y en general su gestión institucional (riesgos)</v>
      </c>
      <c r="F33" s="116" t="str">
        <f>+IFERROR(VLOOKUP(C33,Hoja1!$H$2:$I$45,2,0),"")</f>
        <v>Si</v>
      </c>
      <c r="G33" s="117" t="str">
        <f t="shared" si="0"/>
        <v>Existe requerimiento pero se requiere actividades  dirigidas a su mantenimiento dentro del marco de las lineas de defensa.</v>
      </c>
      <c r="I33" s="131">
        <f t="shared" si="1"/>
        <v>1</v>
      </c>
      <c r="J33" s="269"/>
    </row>
    <row r="34" spans="1:10" ht="30.6" x14ac:dyDescent="0.3">
      <c r="A34" s="1"/>
      <c r="B34" s="1"/>
      <c r="C34" s="129">
        <v>16</v>
      </c>
      <c r="D34" s="285"/>
      <c r="E34" s="115" t="str">
        <f>+IFERROR(INDEX(Hoja1!$E$2:$E$45,MATCH('Análisis Resultados'!C34,Hoja1!$H$2:$H$45,0)),"")</f>
        <v>La identificación  de los riesgos relacionados con posibles actos de corrupción en el ejercicio de sus funciones</v>
      </c>
      <c r="F34" s="116" t="str">
        <f>+IFERROR(VLOOKUP(C34,Hoja1!$H$2:$I$45,2,0),"")</f>
        <v>Si</v>
      </c>
      <c r="G34" s="117" t="str">
        <f t="shared" si="0"/>
        <v>Existe requerimiento pero se requiere actividades  dirigidas a su mantenimiento dentro del marco de las lineas de defensa.</v>
      </c>
      <c r="I34" s="131">
        <f t="shared" si="1"/>
        <v>1</v>
      </c>
      <c r="J34" s="269"/>
    </row>
    <row r="35" spans="1:10" ht="67.5" customHeight="1" x14ac:dyDescent="0.3">
      <c r="A35" s="1"/>
      <c r="B35" s="1"/>
      <c r="C35" s="129">
        <v>17</v>
      </c>
      <c r="D35" s="285"/>
      <c r="E35" s="115" t="str">
        <f>+IFERROR(INDEX(Hoja1!$E$2:$E$45,MATCH('Análisis Resultados'!C35,Hoja1!$H$2:$H$45,0)),"")</f>
        <v>Si su capacidad e infraestructura lo permite, identificación de riesgos asociados a las tecnologías de la información y las comunicaciones</v>
      </c>
      <c r="F35" s="116" t="str">
        <f>+IFERROR(VLOOKUP(C35,Hoja1!$H$2:$I$45,2,0),"")</f>
        <v>Si</v>
      </c>
      <c r="G35" s="117" t="str">
        <f t="shared" si="0"/>
        <v>Existe requerimiento pero se requiere actividades  dirigidas a su mantenimiento dentro del marco de las lineas de defensa.</v>
      </c>
      <c r="I35" s="131">
        <f t="shared" si="1"/>
        <v>1</v>
      </c>
      <c r="J35" s="269"/>
    </row>
    <row r="36" spans="1:10" ht="41.4" x14ac:dyDescent="0.3">
      <c r="A36" s="1"/>
      <c r="B36" s="1"/>
      <c r="C36" s="129">
        <v>18</v>
      </c>
      <c r="D36" s="285"/>
      <c r="E36" s="115" t="str">
        <f>+IFERROR(INDEX(Hoja1!$E$2:$E$45,MATCH('Análisis Resultados'!C36,Hoja1!$H$2:$H$45,0)),"")</f>
        <v>Hacen seguimiento a los problemas (riesgos)  que pueden afectar el cumplimiento de sus procesos, programas o proyectos a cargo</v>
      </c>
      <c r="F36" s="116" t="str">
        <f>+IFERROR(VLOOKUP(C36,Hoja1!$H$2:$I$45,2,0),"")</f>
        <v>Si</v>
      </c>
      <c r="G36" s="117" t="str">
        <f t="shared" si="0"/>
        <v>Existe requerimiento pero se requiere actividades  dirigidas a su mantenimiento dentro del marco de las lineas de defensa.</v>
      </c>
      <c r="I36" s="131">
        <f t="shared" si="1"/>
        <v>1</v>
      </c>
      <c r="J36" s="269"/>
    </row>
    <row r="37" spans="1:10" ht="57" customHeight="1" x14ac:dyDescent="0.3">
      <c r="A37" s="1"/>
      <c r="B37" s="1"/>
      <c r="C37" s="129">
        <v>19</v>
      </c>
      <c r="D37" s="285"/>
      <c r="E37" s="115" t="str">
        <f>+IFERROR(INDEX(Hoja1!$E$2:$E$45,MATCH('Análisis Resultados'!C37,Hoja1!$H$2:$H$45,0)),"")</f>
        <v>Informan de manera periódica a quien corresponda sobre el desempeño de las actividades de gestión de riesgos</v>
      </c>
      <c r="F37" s="116" t="str">
        <f>+IFERROR(VLOOKUP(C37,Hoja1!$H$2:$I$45,2,0),"")</f>
        <v>Si</v>
      </c>
      <c r="G37" s="117" t="str">
        <f t="shared" si="0"/>
        <v>Existe requerimiento pero se requiere actividades  dirigidas a su mantenimiento dentro del marco de las lineas de defensa.</v>
      </c>
      <c r="I37" s="131">
        <f t="shared" si="1"/>
        <v>1</v>
      </c>
      <c r="J37" s="269"/>
    </row>
    <row r="38" spans="1:10" ht="41.4" x14ac:dyDescent="0.3">
      <c r="A38" s="1"/>
      <c r="B38" s="1"/>
      <c r="C38" s="129">
        <v>20</v>
      </c>
      <c r="D38" s="285"/>
      <c r="E38" s="115" t="str">
        <f>+IFERROR(INDEX(Hoja1!$E$2:$E$45,MATCH('Análisis Resultados'!C38,Hoja1!$H$2:$H$45,0)),"")</f>
        <v>Identifican deficiencias en las maneras de  controlar los riesgos o problemas en sus procesos, programas o proyectos, y propone los ajustes necesarios</v>
      </c>
      <c r="F38" s="116" t="str">
        <f>+IFERROR(VLOOKUP(C38,Hoja1!$H$2:$I$45,2,0),"")</f>
        <v>Si</v>
      </c>
      <c r="G38" s="117" t="str">
        <f t="shared" si="0"/>
        <v>Existe requerimiento pero se requiere actividades  dirigidas a su mantenimiento dentro del marco de las lineas de defensa.</v>
      </c>
      <c r="I38" s="131">
        <f t="shared" si="1"/>
        <v>1</v>
      </c>
      <c r="J38" s="269"/>
    </row>
    <row r="39" spans="1:10" ht="30.6" x14ac:dyDescent="0.3">
      <c r="A39" s="1"/>
      <c r="B39" s="1"/>
      <c r="C39" s="129">
        <v>21</v>
      </c>
      <c r="D39" s="285"/>
      <c r="E39" s="115" t="str">
        <f>+IFERROR(INDEX(Hoja1!$E$2:$E$45,MATCH('Análisis Resultados'!C39,Hoja1!$H$2:$H$45,0)),"")</f>
        <v>Se definen espacios de reunión para conocerlos y proponer acciones para su solución</v>
      </c>
      <c r="F39" s="116" t="str">
        <f>+IFERROR(VLOOKUP(C39,Hoja1!$H$2:$I$45,2,0),"")</f>
        <v>Si</v>
      </c>
      <c r="G39" s="117" t="str">
        <f t="shared" si="0"/>
        <v>Existe requerimiento pero se requiere actividades  dirigidas a su mantenimiento dentro del marco de las lineas de defensa.</v>
      </c>
      <c r="I39" s="131">
        <f t="shared" si="1"/>
        <v>1</v>
      </c>
      <c r="J39" s="269"/>
    </row>
    <row r="40" spans="1:10" ht="31.2" thickBot="1" x14ac:dyDescent="0.35">
      <c r="A40" s="1"/>
      <c r="B40" s="1"/>
      <c r="C40" s="129">
        <v>22</v>
      </c>
      <c r="D40" s="285"/>
      <c r="E40" s="121" t="str">
        <f>+IFERROR(INDEX(Hoja1!$E$2:$E$45,MATCH('Análisis Resultados'!C40,Hoja1!$H$2:$H$45,0)),"")</f>
        <v>Solamente hasta que un organismo de control actúa se definen acciones de mejora.</v>
      </c>
      <c r="F40" s="122" t="str">
        <f>+IFERROR(VLOOKUP(C40,Hoja1!$H$2:$I$45,2,0),"")</f>
        <v>Si</v>
      </c>
      <c r="G40" s="123" t="str">
        <f t="shared" si="0"/>
        <v>Existe requerimiento pero se requiere actividades  dirigidas a su mantenimiento dentro del marco de las lineas de defensa.</v>
      </c>
      <c r="I40" s="133">
        <f t="shared" si="1"/>
        <v>1</v>
      </c>
      <c r="J40" s="269"/>
    </row>
    <row r="41" spans="1:10" ht="87.75" customHeight="1" x14ac:dyDescent="0.3">
      <c r="A41" s="1"/>
      <c r="B41" s="1"/>
      <c r="C41" s="129">
        <v>23</v>
      </c>
      <c r="D41" s="280" t="s">
        <v>78</v>
      </c>
      <c r="E41" s="112" t="str">
        <f>+IFERROR(INDEX(Hoja1!$E$2:$E$45,MATCH('Análisis Resultados'!C41,Hoja1!$H$2:$H$45,0)),"")</f>
        <v>La definición de acciones o actividades para para dar tratamiento a los problemas identificados (mitigación de riesgos), incluyendo aquellos asociados a posibles actos de corrupción</v>
      </c>
      <c r="F41" s="113" t="str">
        <f>+IFERROR(VLOOKUP(C41,Hoja1!$H$2:$I$45,2,0),"")</f>
        <v>Si</v>
      </c>
      <c r="G41" s="114" t="str">
        <f t="shared" si="0"/>
        <v>Existe requerimiento pero se requiere actividades  dirigidas a su mantenimiento dentro del marco de las lineas de defensa.</v>
      </c>
      <c r="I41" s="130">
        <f t="shared" si="1"/>
        <v>1</v>
      </c>
      <c r="J41" s="268">
        <f>+AVERAGE(I41:I45)</f>
        <v>1</v>
      </c>
    </row>
    <row r="42" spans="1:10" ht="41.4" x14ac:dyDescent="0.3">
      <c r="A42" s="1"/>
      <c r="B42" s="1"/>
      <c r="C42" s="129">
        <v>24</v>
      </c>
      <c r="D42" s="281"/>
      <c r="E42" s="115" t="str">
        <f>+IFERROR(INDEX(Hoja1!$E$2:$E$45,MATCH('Análisis Resultados'!C42,Hoja1!$H$2:$H$45,0)),"")</f>
        <v>Mecanismos de verificación de si se están o no mitigando los riesgos, o en su defecto, elaboración de planes de contingencia para subsanar sus consecuencias</v>
      </c>
      <c r="F42" s="116" t="str">
        <f>+IFERROR(VLOOKUP(C42,Hoja1!$H$2:$I$45,2,0),"")</f>
        <v>Si</v>
      </c>
      <c r="G42" s="117" t="str">
        <f t="shared" si="0"/>
        <v>Existe requerimiento pero se requiere actividades  dirigidas a su mantenimiento dentro del marco de las lineas de defensa.</v>
      </c>
      <c r="I42" s="131">
        <f t="shared" si="1"/>
        <v>1</v>
      </c>
      <c r="J42" s="269"/>
    </row>
    <row r="43" spans="1:10" ht="85.5" customHeight="1" x14ac:dyDescent="0.3">
      <c r="A43" s="1"/>
      <c r="B43" s="1"/>
      <c r="C43" s="129">
        <v>25</v>
      </c>
      <c r="D43" s="281"/>
      <c r="E43" s="115" t="str">
        <f>+IFERROR(INDEX(Hoja1!$E$2:$E$45,MATCH('Análisis Resultados'!C43,Hoja1!$H$2:$H$45,0)),"")</f>
        <v>Planes, acciones o estrategias que permitan subsanar las consecuencias de la materialización de los riesgos, cuando se presentan</v>
      </c>
      <c r="F43" s="116" t="str">
        <f>+IFERROR(VLOOKUP(C43,Hoja1!$H$2:$I$45,2,0),"")</f>
        <v>Si</v>
      </c>
      <c r="G43" s="117" t="str">
        <f t="shared" si="0"/>
        <v>Existe requerimiento pero se requiere actividades  dirigidas a su mantenimiento dentro del marco de las lineas de defensa.</v>
      </c>
      <c r="I43" s="131">
        <f t="shared" si="1"/>
        <v>1</v>
      </c>
      <c r="J43" s="269"/>
    </row>
    <row r="44" spans="1:10" ht="57" customHeight="1" x14ac:dyDescent="0.3">
      <c r="A44" s="1"/>
      <c r="B44" s="1"/>
      <c r="C44" s="129">
        <v>26</v>
      </c>
      <c r="D44" s="281"/>
      <c r="E44" s="115" t="str">
        <f>+IFERROR(INDEX(Hoja1!$E$2:$E$45,MATCH('Análisis Resultados'!C44,Hoja1!$H$2:$H$45,0)),"")</f>
        <v>Un documento que consolide  los riesgos  y el tratamiento que se les da, incluyendo aquellos que conllevan posibles actos de corrupción y si la capacidad e infraestructura lo permite, los asociados con las tecnologías de la información y las comunicaciones</v>
      </c>
      <c r="F44" s="116" t="str">
        <f>+IFERROR(VLOOKUP(C44,Hoja1!$H$2:$I$45,2,0),"")</f>
        <v>Si</v>
      </c>
      <c r="G44" s="117" t="str">
        <f t="shared" si="0"/>
        <v>Existe requerimiento pero se requiere actividades  dirigidas a su mantenimiento dentro del marco de las lineas de defensa.</v>
      </c>
      <c r="I44" s="131">
        <f t="shared" si="1"/>
        <v>1</v>
      </c>
      <c r="J44" s="269"/>
    </row>
    <row r="45" spans="1:10" ht="57" customHeight="1" thickBot="1" x14ac:dyDescent="0.35">
      <c r="A45" s="1"/>
      <c r="B45" s="1"/>
      <c r="C45" s="129">
        <v>27</v>
      </c>
      <c r="D45" s="282"/>
      <c r="E45" s="118" t="str">
        <f>+IFERROR(INDEX(Hoja1!$E$2:$E$45,MATCH('Análisis Resultados'!C45,Hoja1!$H$2:$H$45,0)),"")</f>
        <v>Un plan anticorrupción y de servicio al ciudadano con los temas que le aplican, publicado en algún medio para conocimiento de la ciudadanía</v>
      </c>
      <c r="F45" s="119" t="str">
        <f>+IFERROR(VLOOKUP(C45,Hoja1!$H$2:$I$45,2,0),"")</f>
        <v>Si</v>
      </c>
      <c r="G45" s="120" t="str">
        <f t="shared" si="0"/>
        <v>Existe requerimiento pero se requiere actividades  dirigidas a su mantenimiento dentro del marco de las lineas de defensa.</v>
      </c>
      <c r="I45" s="132">
        <f t="shared" si="1"/>
        <v>1</v>
      </c>
      <c r="J45" s="283"/>
    </row>
    <row r="46" spans="1:10" ht="63.75" customHeight="1" x14ac:dyDescent="0.3">
      <c r="A46" s="1"/>
      <c r="B46" s="1"/>
      <c r="C46" s="129">
        <v>28</v>
      </c>
      <c r="D46" s="279" t="s">
        <v>86</v>
      </c>
      <c r="E46" s="124" t="str">
        <f>+IFERROR(INDEX(Hoja1!$E$2:$E$45,MATCH('Análisis Resultados'!C46,Hoja1!$H$2:$H$45,0)),"")</f>
        <v xml:space="preserve">Lineamientos para dar tratamiento a la información de carácter reservado </v>
      </c>
      <c r="F46" s="125" t="str">
        <f>+IFERROR(VLOOKUP(C46,Hoja1!$H$2:$I$45,2,0),"")</f>
        <v>En proceso</v>
      </c>
      <c r="G46" s="126" t="str">
        <f t="shared" si="0"/>
        <v>Se encuentra en proceso, pero requiere continuar con acciones dirigidas a contar con dicho aspecto de control.</v>
      </c>
      <c r="I46" s="134">
        <f t="shared" si="1"/>
        <v>0.5</v>
      </c>
      <c r="J46" s="269">
        <f>+AVERAGE(I46:I52)</f>
        <v>0.7857142857142857</v>
      </c>
    </row>
    <row r="47" spans="1:10" ht="92.25" customHeight="1" x14ac:dyDescent="0.3">
      <c r="A47" s="1"/>
      <c r="B47" s="1"/>
      <c r="C47" s="129">
        <v>29</v>
      </c>
      <c r="D47" s="279"/>
      <c r="E47" s="115" t="str">
        <f>+IFERROR(INDEX(Hoja1!$E$2:$E$45,MATCH('Análisis Resultados'!C47,Hoja1!$H$2:$H$45,0)),"")</f>
        <v>Identificación de información que produce en el marco de su gestión (Para los ciudadanos, organismos de control, organismos gubernamentales, entre otros)</v>
      </c>
      <c r="F47" s="116" t="str">
        <f>+IFERROR(VLOOKUP(C47,Hoja1!$H$2:$I$45,2,0),"")</f>
        <v>En proceso</v>
      </c>
      <c r="G47" s="127" t="str">
        <f t="shared" si="0"/>
        <v>Se encuentra en proceso, pero requiere continuar con acciones dirigidas a contar con dicho aspecto de control.</v>
      </c>
      <c r="I47" s="135">
        <f t="shared" si="1"/>
        <v>0.5</v>
      </c>
      <c r="J47" s="269"/>
    </row>
    <row r="48" spans="1:10" ht="66.75" customHeight="1" x14ac:dyDescent="0.3">
      <c r="A48" s="1"/>
      <c r="B48" s="1"/>
      <c r="C48" s="129">
        <v>30</v>
      </c>
      <c r="D48" s="279"/>
      <c r="E48" s="115" t="str">
        <f>+IFERROR(INDEX(Hoja1!$E$2:$E$45,MATCH('Análisis Resultados'!C48,Hoja1!$H$2:$H$45,0)),"")</f>
        <v>Si su capacidad e infraestructura lo permite, tecnologías de la información y las comunicaciones que soporten estos procesos</v>
      </c>
      <c r="F48" s="116" t="str">
        <f>+IFERROR(VLOOKUP(C48,Hoja1!$H$2:$I$45,2,0),"")</f>
        <v>En proceso</v>
      </c>
      <c r="G48" s="127" t="str">
        <f t="shared" si="0"/>
        <v>Se encuentra en proceso, pero requiere continuar con acciones dirigidas a contar con dicho aspecto de control.</v>
      </c>
      <c r="I48" s="135">
        <f t="shared" si="1"/>
        <v>0.5</v>
      </c>
      <c r="J48" s="269"/>
    </row>
    <row r="49" spans="1:10" ht="60" customHeight="1" x14ac:dyDescent="0.3">
      <c r="A49" s="1"/>
      <c r="B49" s="1"/>
      <c r="C49" s="129">
        <v>31</v>
      </c>
      <c r="D49" s="279"/>
      <c r="E49" s="115" t="str">
        <f>+IFERROR(INDEX(Hoja1!$E$2:$E$45,MATCH('Análisis Resultados'!C49,Hoja1!$H$2:$H$45,0)),"")</f>
        <v>Responsables de la información institucional</v>
      </c>
      <c r="F49" s="116" t="str">
        <f>+IFERROR(VLOOKUP(C49,Hoja1!$H$2:$I$45,2,0),"")</f>
        <v>Si</v>
      </c>
      <c r="G49" s="127" t="str">
        <f t="shared" si="0"/>
        <v>Existe requerimiento pero se requiere actividades  dirigidas a su mantenimiento dentro del marco de las lineas de defensa.</v>
      </c>
      <c r="I49" s="135">
        <f t="shared" si="1"/>
        <v>1</v>
      </c>
      <c r="J49" s="269"/>
    </row>
    <row r="50" spans="1:10" ht="57" customHeight="1" x14ac:dyDescent="0.3">
      <c r="A50" s="1"/>
      <c r="B50" s="1"/>
      <c r="C50" s="129">
        <v>32</v>
      </c>
      <c r="D50" s="279"/>
      <c r="E50" s="115" t="str">
        <f>+IFERROR(INDEX(Hoja1!$E$2:$E$45,MATCH('Análisis Resultados'!C50,Hoja1!$H$2:$H$45,0)),"")</f>
        <v>Canales de comunicación con los ciudadanos</v>
      </c>
      <c r="F50" s="116" t="str">
        <f>+IFERROR(VLOOKUP(C50,Hoja1!$H$2:$I$45,2,0),"")</f>
        <v>Si</v>
      </c>
      <c r="G50" s="127" t="str">
        <f t="shared" si="0"/>
        <v>Existe requerimiento pero se requiere actividades  dirigidas a su mantenimiento dentro del marco de las lineas de defensa.</v>
      </c>
      <c r="I50" s="135">
        <f t="shared" si="1"/>
        <v>1</v>
      </c>
      <c r="J50" s="269"/>
    </row>
    <row r="51" spans="1:10" ht="57" customHeight="1" x14ac:dyDescent="0.3">
      <c r="A51" s="1"/>
      <c r="B51" s="1"/>
      <c r="C51" s="129">
        <v>33</v>
      </c>
      <c r="D51" s="279"/>
      <c r="E51" s="115" t="str">
        <f>+IFERROR(INDEX(Hoja1!$E$2:$E$45,MATCH('Análisis Resultados'!C51,Hoja1!$H$2:$H$45,0)),"")</f>
        <v>Canales de comunicación o mecanismos de reporte de información a otros organismos gubernamentales o de control</v>
      </c>
      <c r="F51" s="116" t="str">
        <f>+IFERROR(VLOOKUP(C51,Hoja1!$H$2:$I$45,2,0),"")</f>
        <v>Si</v>
      </c>
      <c r="G51" s="127" t="str">
        <f t="shared" si="0"/>
        <v>Existe requerimiento pero se requiere actividades  dirigidas a su mantenimiento dentro del marco de las lineas de defensa.</v>
      </c>
      <c r="I51" s="135">
        <f t="shared" si="1"/>
        <v>1</v>
      </c>
      <c r="J51" s="269"/>
    </row>
    <row r="52" spans="1:10" ht="42" thickBot="1" x14ac:dyDescent="0.35">
      <c r="A52" s="1"/>
      <c r="B52" s="1"/>
      <c r="C52" s="129">
        <v>34</v>
      </c>
      <c r="D52" s="279"/>
      <c r="E52" s="121" t="str">
        <f>+IFERROR(INDEX(Hoja1!$E$2:$E$45,MATCH('Análisis Resultados'!C52,Hoja1!$H$2:$H$45,0)),"")</f>
        <v>Identificación de información necesaria para la operación de la entidad (normograma, presupuesto, talento humano, infraestructura física y tecnológica)</v>
      </c>
      <c r="F52" s="122" t="str">
        <f>+IFERROR(VLOOKUP(C52,Hoja1!$H$2:$I$45,2,0),"")</f>
        <v>Si</v>
      </c>
      <c r="G52" s="128" t="str">
        <f t="shared" si="0"/>
        <v>Existe requerimiento pero se requiere actividades  dirigidas a su mantenimiento dentro del marco de las lineas de defensa.</v>
      </c>
      <c r="I52" s="136">
        <f t="shared" si="1"/>
        <v>1</v>
      </c>
      <c r="J52" s="269"/>
    </row>
    <row r="53" spans="1:10" ht="41.25" customHeight="1" x14ac:dyDescent="0.3">
      <c r="A53" s="1"/>
      <c r="B53" s="1"/>
      <c r="C53" s="129">
        <v>35</v>
      </c>
      <c r="D53" s="273" t="s">
        <v>96</v>
      </c>
      <c r="E53" s="112" t="str">
        <f>+IFERROR(INDEX(Hoja1!$E$2:$E$45,MATCH('Análisis Resultados'!C53,Hoja1!$H$2:$H$45,0)),"")</f>
        <v>Mecanismos de evaluación de la gestión (cronogramas, indicadores, listas de chequeo u otros)</v>
      </c>
      <c r="F53" s="113" t="str">
        <f>+IFERROR(VLOOKUP(C53,Hoja1!$H$2:$I$45,2,0),"")</f>
        <v>Si</v>
      </c>
      <c r="G53" s="114" t="str">
        <f t="shared" si="0"/>
        <v>Existe requerimiento pero se requiere actividades  dirigidas a su mantenimiento dentro del marco de las lineas de defensa.</v>
      </c>
      <c r="I53" s="130">
        <f t="shared" si="1"/>
        <v>1</v>
      </c>
      <c r="J53" s="276">
        <f>+AVERAGE(I53:I62)</f>
        <v>1</v>
      </c>
    </row>
    <row r="54" spans="1:10" ht="58.5" customHeight="1" x14ac:dyDescent="0.3">
      <c r="A54" s="1"/>
      <c r="B54" s="1"/>
      <c r="C54" s="129">
        <v>36</v>
      </c>
      <c r="D54" s="274"/>
      <c r="E54" s="115" t="str">
        <f>+IFERROR(INDEX(Hoja1!$E$2:$E$45,MATCH('Análisis Resultados'!C54,Hoja1!$H$2:$H$45,0)),"")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4" s="116" t="str">
        <f>+IFERROR(VLOOKUP(C54,Hoja1!$H$2:$I$45,2,0),"")</f>
        <v>Si</v>
      </c>
      <c r="G54" s="117" t="str">
        <f t="shared" si="0"/>
        <v>Existe requerimiento pero se requiere actividades  dirigidas a su mantenimiento dentro del marco de las lineas de defensa.</v>
      </c>
      <c r="I54" s="131">
        <f t="shared" si="1"/>
        <v>1</v>
      </c>
      <c r="J54" s="277"/>
    </row>
    <row r="55" spans="1:10" s="1" customFormat="1" ht="84.75" customHeight="1" x14ac:dyDescent="0.3">
      <c r="C55" s="129">
        <v>37</v>
      </c>
      <c r="D55" s="274"/>
      <c r="E55" s="115" t="str">
        <f>+IFERROR(INDEX(Hoja1!$E$2:$E$45,MATCH('Análisis Resultados'!C55,Hoja1!$H$2:$H$45,0)),"")</f>
        <v>Medidas correctivas en caso de detectarse deficiencias en los ejercicios de evaluación, seguimiento o auditoría</v>
      </c>
      <c r="F55" s="116" t="str">
        <f>+IFERROR(VLOOKUP(C55,Hoja1!$H$2:$I$45,2,0),"")</f>
        <v>Si</v>
      </c>
      <c r="G55" s="117" t="str">
        <f t="shared" si="0"/>
        <v>Existe requerimiento pero se requiere actividades  dirigidas a su mantenimiento dentro del marco de las lineas de defensa.</v>
      </c>
      <c r="I55" s="131">
        <f t="shared" si="1"/>
        <v>1</v>
      </c>
      <c r="J55" s="277"/>
    </row>
    <row r="56" spans="1:10" s="1" customFormat="1" ht="78.75" customHeight="1" x14ac:dyDescent="0.3">
      <c r="C56" s="129">
        <v>38</v>
      </c>
      <c r="D56" s="274"/>
      <c r="E56" s="115" t="str">
        <f>+IFERROR(INDEX(Hoja1!$E$2:$E$45,MATCH('Análisis Resultados'!C56,Hoja1!$H$2:$H$45,0)),"")</f>
        <v>Seguimiento a los planes de mejoramiento suscritos con instancias de control internas o externas</v>
      </c>
      <c r="F56" s="116" t="str">
        <f>+IFERROR(VLOOKUP(C56,Hoja1!$H$2:$I$45,2,0),"")</f>
        <v>Si</v>
      </c>
      <c r="G56" s="117" t="str">
        <f t="shared" si="0"/>
        <v>Existe requerimiento pero se requiere actividades  dirigidas a su mantenimiento dentro del marco de las lineas de defensa.</v>
      </c>
      <c r="I56" s="131">
        <f t="shared" si="1"/>
        <v>1</v>
      </c>
      <c r="J56" s="277"/>
    </row>
    <row r="57" spans="1:10" s="1" customFormat="1" ht="54.75" customHeight="1" x14ac:dyDescent="0.3">
      <c r="C57" s="129">
        <v>39</v>
      </c>
      <c r="D57" s="274"/>
      <c r="E57" s="115" t="str">
        <f>+IFERROR(INDEX(Hoja1!$E$2:$E$45,MATCH('Análisis Resultados'!C57,Hoja1!$H$2:$H$45,0)),"")</f>
        <v>La entidad participa en el  Comité Municipal de Auditoría?</v>
      </c>
      <c r="F57" s="116" t="str">
        <f>+IFERROR(VLOOKUP(C57,Hoja1!$H$2:$I$45,2,0),"")</f>
        <v>Si</v>
      </c>
      <c r="G57" s="117" t="str">
        <f t="shared" si="0"/>
        <v>Existe requerimiento pero se requiere actividades  dirigidas a su mantenimiento dentro del marco de las lineas de defensa.</v>
      </c>
      <c r="I57" s="131">
        <f t="shared" si="1"/>
        <v>1</v>
      </c>
      <c r="J57" s="277"/>
    </row>
    <row r="58" spans="1:10" s="1" customFormat="1" ht="68.25" customHeight="1" x14ac:dyDescent="0.3">
      <c r="C58" s="129">
        <v>40</v>
      </c>
      <c r="D58" s="274"/>
      <c r="E58" s="115" t="str">
        <f>+IFERROR(INDEX(Hoja1!$E$2:$E$45,MATCH('Análisis Resultados'!C58,Hoja1!$H$2:$H$45,0)),"")</f>
        <v>Evitar que los problemas (riesgos) obstaculicen el cumplimiento de los objetivos.</v>
      </c>
      <c r="F58" s="116" t="str">
        <f>+IFERROR(VLOOKUP(C58,Hoja1!$H$2:$I$45,2,0),"")</f>
        <v>Si</v>
      </c>
      <c r="G58" s="117" t="str">
        <f t="shared" si="0"/>
        <v>Existe requerimiento pero se requiere actividades  dirigidas a su mantenimiento dentro del marco de las lineas de defensa.</v>
      </c>
      <c r="I58" s="131">
        <f t="shared" si="1"/>
        <v>1</v>
      </c>
      <c r="J58" s="277"/>
    </row>
    <row r="59" spans="1:10" s="1" customFormat="1" ht="45" customHeight="1" x14ac:dyDescent="0.3">
      <c r="C59" s="129">
        <v>41</v>
      </c>
      <c r="D59" s="274"/>
      <c r="E59" s="115" t="str">
        <f>+IFERROR(INDEX(Hoja1!$E$2:$E$45,MATCH('Análisis Resultados'!C59,Hoja1!$H$2:$H$45,0)),"")</f>
        <v>Controlar los puntos críticos en los procesos.</v>
      </c>
      <c r="F59" s="116" t="str">
        <f>+IFERROR(VLOOKUP(C59,Hoja1!$H$2:$I$45,2,0),"")</f>
        <v>Si</v>
      </c>
      <c r="G59" s="117" t="str">
        <f t="shared" si="0"/>
        <v>Existe requerimiento pero se requiere actividades  dirigidas a su mantenimiento dentro del marco de las lineas de defensa.</v>
      </c>
      <c r="I59" s="131">
        <f t="shared" si="1"/>
        <v>1</v>
      </c>
      <c r="J59" s="277"/>
    </row>
    <row r="60" spans="1:10" s="1" customFormat="1" ht="51.75" customHeight="1" x14ac:dyDescent="0.3">
      <c r="C60" s="129">
        <v>42</v>
      </c>
      <c r="D60" s="274"/>
      <c r="E60" s="115" t="str">
        <f>+IFERROR(INDEX(Hoja1!$E$2:$E$45,MATCH('Análisis Resultados'!C60,Hoja1!$H$2:$H$45,0)),"")</f>
        <v>Diseñar acciones adecuadas para controlar los problemas que afectan el cumplimiento de las metas y objetivos institucionales (riesgos).</v>
      </c>
      <c r="F60" s="116" t="str">
        <f>+IFERROR(VLOOKUP(C60,Hoja1!$H$2:$I$45,2,0),"")</f>
        <v>Si</v>
      </c>
      <c r="G60" s="117" t="str">
        <f t="shared" si="0"/>
        <v>Existe requerimiento pero se requiere actividades  dirigidas a su mantenimiento dentro del marco de las lineas de defensa.</v>
      </c>
      <c r="I60" s="131">
        <f t="shared" si="1"/>
        <v>1</v>
      </c>
      <c r="J60" s="277"/>
    </row>
    <row r="61" spans="1:10" s="1" customFormat="1" ht="84" customHeight="1" x14ac:dyDescent="0.3">
      <c r="C61" s="129">
        <v>43</v>
      </c>
      <c r="D61" s="274"/>
      <c r="E61" s="115" t="str">
        <f>+IFERROR(INDEX(Hoja1!$E$2:$E$45,MATCH('Análisis Resultados'!C61,Hoja1!$H$2:$H$45,0)),"")</f>
        <v>Ejecutar las acciones de acuerdo a como se diseñaron previamente.</v>
      </c>
      <c r="F61" s="116" t="str">
        <f>+IFERROR(VLOOKUP(C61,Hoja1!$H$2:$I$45,2,0),"")</f>
        <v>Si</v>
      </c>
      <c r="G61" s="117" t="str">
        <f t="shared" si="0"/>
        <v>Existe requerimiento pero se requiere actividades  dirigidas a su mantenimiento dentro del marco de las lineas de defensa.</v>
      </c>
      <c r="I61" s="131">
        <f t="shared" si="1"/>
        <v>1</v>
      </c>
      <c r="J61" s="277"/>
    </row>
    <row r="62" spans="1:10" s="1" customFormat="1" ht="60" customHeight="1" thickBot="1" x14ac:dyDescent="0.35">
      <c r="C62" s="129">
        <v>44</v>
      </c>
      <c r="D62" s="275"/>
      <c r="E62" s="118" t="str">
        <f>+IFERROR(INDEX(Hoja1!$E$2:$E$45,MATCH('Análisis Resultados'!C62,Hoja1!$H$2:$H$45,0)),"")</f>
        <v>No se gestionan los problemas que afectan el cumplimiento de las funciones y objetivos institucionales(riesgos).</v>
      </c>
      <c r="F62" s="119" t="str">
        <f>+IFERROR(VLOOKUP(C62,Hoja1!$H$2:$I$45,2,0),"")</f>
        <v>Si</v>
      </c>
      <c r="G62" s="120" t="str">
        <f t="shared" si="0"/>
        <v>Existe requerimiento pero se requiere actividades  dirigidas a su mantenimiento dentro del marco de las lineas de defensa.</v>
      </c>
      <c r="I62" s="132">
        <f t="shared" si="1"/>
        <v>1</v>
      </c>
      <c r="J62" s="278"/>
    </row>
    <row r="63" spans="1:10" s="1" customFormat="1" x14ac:dyDescent="0.3"/>
    <row r="64" spans="1:10" s="1" customFormat="1" x14ac:dyDescent="0.3"/>
    <row r="65" spans="1:2" s="1" customFormat="1" x14ac:dyDescent="0.3"/>
    <row r="66" spans="1:2" s="1" customFormat="1" x14ac:dyDescent="0.3"/>
    <row r="67" spans="1:2" s="1" customFormat="1" x14ac:dyDescent="0.3"/>
    <row r="68" spans="1:2" s="1" customFormat="1" x14ac:dyDescent="0.3"/>
    <row r="69" spans="1:2" s="1" customFormat="1" x14ac:dyDescent="0.3"/>
    <row r="70" spans="1:2" s="1" customFormat="1" x14ac:dyDescent="0.3"/>
    <row r="71" spans="1:2" x14ac:dyDescent="0.3">
      <c r="A71" s="1"/>
      <c r="B71" s="1"/>
    </row>
    <row r="72" spans="1:2" x14ac:dyDescent="0.3">
      <c r="A72" s="1"/>
      <c r="B72" s="1"/>
    </row>
    <row r="73" spans="1:2" x14ac:dyDescent="0.3">
      <c r="A73" s="1"/>
      <c r="B73" s="1"/>
    </row>
    <row r="74" spans="1:2" x14ac:dyDescent="0.3">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J31:J40"/>
    <mergeCell ref="C12:D12"/>
    <mergeCell ref="E12:F12"/>
    <mergeCell ref="J19:J30"/>
    <mergeCell ref="D53:D62"/>
    <mergeCell ref="J53:J62"/>
    <mergeCell ref="D46:D52"/>
    <mergeCell ref="J46:J52"/>
    <mergeCell ref="D41:D45"/>
    <mergeCell ref="J41:J45"/>
    <mergeCell ref="D31:D40"/>
    <mergeCell ref="C11:D11"/>
    <mergeCell ref="E11:F11"/>
    <mergeCell ref="J17:J18"/>
    <mergeCell ref="D19:D30"/>
    <mergeCell ref="C17:C18"/>
    <mergeCell ref="D17:E17"/>
    <mergeCell ref="F17:F18"/>
    <mergeCell ref="G17:G18"/>
    <mergeCell ref="I17:I18"/>
    <mergeCell ref="C7:K7"/>
    <mergeCell ref="C9:D9"/>
    <mergeCell ref="E9:F9"/>
    <mergeCell ref="C10:D10"/>
    <mergeCell ref="E10:F10"/>
  </mergeCells>
  <conditionalFormatting sqref="I19:I62">
    <cfRule type="cellIs" dxfId="16" priority="4" operator="between">
      <formula>0.75</formula>
      <formula>1</formula>
    </cfRule>
    <cfRule type="cellIs" dxfId="15" priority="5" operator="between">
      <formula>0.5</formula>
      <formula>0.74</formula>
    </cfRule>
    <cfRule type="cellIs" dxfId="14" priority="6" operator="between">
      <formula>0</formula>
      <formula>0.49</formula>
    </cfRule>
  </conditionalFormatting>
  <conditionalFormatting sqref="J19:J31 J41 J46 J53">
    <cfRule type="cellIs" priority="1" operator="between">
      <formula>0.75</formula>
      <formula>1</formula>
    </cfRule>
    <cfRule type="cellIs" dxfId="13" priority="2" operator="between">
      <formula>0.5</formula>
      <formula>0.75</formula>
    </cfRule>
    <cfRule type="cellIs" dxfId="12"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topLeftCell="B22" zoomScale="64" zoomScaleNormal="64" workbookViewId="0">
      <selection activeCell="F6" sqref="F6:M6"/>
    </sheetView>
  </sheetViews>
  <sheetFormatPr baseColWidth="10" defaultColWidth="11.44140625" defaultRowHeight="14.4" x14ac:dyDescent="0.3"/>
  <cols>
    <col min="1" max="1" width="4.44140625" customWidth="1"/>
    <col min="3" max="3" width="35.5546875" customWidth="1"/>
    <col min="4" max="4" width="13" customWidth="1"/>
    <col min="5" max="5" width="43.33203125" customWidth="1"/>
    <col min="7" max="7" width="33.88671875" customWidth="1"/>
    <col min="9" max="9" width="92.33203125" customWidth="1"/>
    <col min="13" max="13" width="29" customWidth="1"/>
  </cols>
  <sheetData>
    <row r="1" spans="1:17" s="1" customFormat="1" x14ac:dyDescent="0.3"/>
    <row r="2" spans="1:17" ht="15" thickBot="1" x14ac:dyDescent="0.35">
      <c r="A2" s="1"/>
      <c r="B2" s="1"/>
      <c r="C2" s="1"/>
      <c r="D2" s="1"/>
      <c r="E2" s="1"/>
      <c r="F2" s="1"/>
      <c r="G2" s="1"/>
      <c r="H2" s="1"/>
      <c r="I2" s="1"/>
      <c r="J2" s="1"/>
      <c r="K2" s="1"/>
      <c r="L2" s="1"/>
      <c r="M2" s="1"/>
      <c r="N2" s="1"/>
      <c r="O2" s="1"/>
      <c r="P2" s="1"/>
      <c r="Q2" s="1"/>
    </row>
    <row r="3" spans="1:17" ht="15" thickTop="1" x14ac:dyDescent="0.3">
      <c r="A3" s="1"/>
      <c r="B3" s="2"/>
      <c r="C3" s="3"/>
      <c r="D3" s="3"/>
      <c r="E3" s="3"/>
      <c r="F3" s="3"/>
      <c r="G3" s="3"/>
      <c r="H3" s="3"/>
      <c r="I3" s="3"/>
      <c r="J3" s="3"/>
      <c r="K3" s="3"/>
      <c r="L3" s="3"/>
      <c r="M3" s="3"/>
      <c r="N3" s="3"/>
      <c r="O3" s="3"/>
      <c r="P3" s="4"/>
      <c r="Q3" s="1"/>
    </row>
    <row r="4" spans="1:17" x14ac:dyDescent="0.3">
      <c r="A4" s="1"/>
      <c r="B4" s="5"/>
      <c r="C4" s="1"/>
      <c r="D4" s="1"/>
      <c r="E4" s="299" t="s">
        <v>123</v>
      </c>
      <c r="F4" s="301" t="s">
        <v>220</v>
      </c>
      <c r="G4" s="301"/>
      <c r="H4" s="301"/>
      <c r="I4" s="301"/>
      <c r="J4" s="301"/>
      <c r="K4" s="301"/>
      <c r="L4" s="301"/>
      <c r="M4" s="301"/>
      <c r="N4" s="6"/>
      <c r="O4" s="6"/>
      <c r="P4" s="7"/>
      <c r="Q4" s="1"/>
    </row>
    <row r="5" spans="1:17" ht="45.75" customHeight="1" x14ac:dyDescent="0.3">
      <c r="A5" s="1"/>
      <c r="B5" s="5"/>
      <c r="C5" s="1"/>
      <c r="D5" s="1"/>
      <c r="E5" s="300"/>
      <c r="F5" s="301"/>
      <c r="G5" s="301"/>
      <c r="H5" s="301"/>
      <c r="I5" s="301"/>
      <c r="J5" s="301"/>
      <c r="K5" s="301"/>
      <c r="L5" s="301"/>
      <c r="M5" s="301"/>
      <c r="N5" s="6"/>
      <c r="O5" s="6"/>
      <c r="P5" s="7"/>
      <c r="Q5" s="1"/>
    </row>
    <row r="6" spans="1:17" ht="66.75" customHeight="1" x14ac:dyDescent="0.3">
      <c r="A6" s="1"/>
      <c r="B6" s="5"/>
      <c r="C6" s="1"/>
      <c r="D6" s="1"/>
      <c r="E6" s="88" t="s">
        <v>124</v>
      </c>
      <c r="F6" s="302" t="s">
        <v>230</v>
      </c>
      <c r="G6" s="303"/>
      <c r="H6" s="303"/>
      <c r="I6" s="303"/>
      <c r="J6" s="303"/>
      <c r="K6" s="303"/>
      <c r="L6" s="303"/>
      <c r="M6" s="304"/>
      <c r="N6" s="8"/>
      <c r="O6" s="8"/>
      <c r="P6" s="7"/>
      <c r="Q6" s="1"/>
    </row>
    <row r="7" spans="1:17" ht="15" thickBot="1" x14ac:dyDescent="0.35">
      <c r="A7" s="1"/>
      <c r="B7" s="5"/>
      <c r="C7" s="1"/>
      <c r="D7" s="1"/>
      <c r="E7" s="9"/>
      <c r="F7" s="8"/>
      <c r="G7" s="8"/>
      <c r="H7" s="8"/>
      <c r="I7" s="8"/>
      <c r="J7" s="8"/>
      <c r="K7" s="8"/>
      <c r="L7" s="8"/>
      <c r="M7" s="1"/>
      <c r="N7" s="1"/>
      <c r="O7" s="1"/>
      <c r="P7" s="7"/>
      <c r="Q7" s="1"/>
    </row>
    <row r="8" spans="1:17" ht="97.5" customHeight="1" thickBot="1" x14ac:dyDescent="0.35">
      <c r="A8" s="1"/>
      <c r="B8" s="5"/>
      <c r="C8" s="1"/>
      <c r="D8" s="1"/>
      <c r="E8" s="1"/>
      <c r="F8" s="1"/>
      <c r="G8" s="1"/>
      <c r="H8" s="1"/>
      <c r="I8" s="305" t="s">
        <v>125</v>
      </c>
      <c r="J8" s="306"/>
      <c r="K8" s="307"/>
      <c r="L8" s="1"/>
      <c r="M8" s="137">
        <f>+AVERAGE(G26,G28,G30,G32,G34)</f>
        <v>0.93047619047619035</v>
      </c>
      <c r="N8" s="10"/>
      <c r="O8" s="10"/>
      <c r="P8" s="7"/>
      <c r="Q8" s="1"/>
    </row>
    <row r="9" spans="1:17" ht="15.6" x14ac:dyDescent="0.3">
      <c r="A9" s="1"/>
      <c r="B9" s="5"/>
      <c r="C9" s="1"/>
      <c r="D9" s="1"/>
      <c r="E9" s="1"/>
      <c r="F9" s="1"/>
      <c r="G9" s="1"/>
      <c r="H9" s="1"/>
      <c r="I9" s="1"/>
      <c r="J9" s="1"/>
      <c r="K9" s="1"/>
      <c r="L9" s="1"/>
      <c r="M9" s="11"/>
      <c r="N9" s="11"/>
      <c r="O9" s="11"/>
      <c r="P9" s="7"/>
      <c r="Q9" s="1"/>
    </row>
    <row r="10" spans="1:17" x14ac:dyDescent="0.3">
      <c r="A10" s="1"/>
      <c r="B10" s="5"/>
      <c r="C10" s="1"/>
      <c r="D10" s="1"/>
      <c r="E10" s="1"/>
      <c r="F10" s="1"/>
      <c r="G10" s="1"/>
      <c r="H10" s="1"/>
      <c r="I10" s="1"/>
      <c r="J10" s="1"/>
      <c r="K10" s="1"/>
      <c r="L10" s="1"/>
      <c r="M10" s="1"/>
      <c r="N10" s="1"/>
      <c r="O10" s="1"/>
      <c r="P10" s="7"/>
      <c r="Q10" s="1"/>
    </row>
    <row r="11" spans="1:17" x14ac:dyDescent="0.3">
      <c r="A11" s="1"/>
      <c r="B11" s="5"/>
      <c r="C11" s="1"/>
      <c r="D11" s="1"/>
      <c r="E11" s="1"/>
      <c r="F11" s="1"/>
      <c r="G11" s="1"/>
      <c r="H11" s="1"/>
      <c r="I11" s="1"/>
      <c r="J11" s="1"/>
      <c r="K11" s="1"/>
      <c r="L11" s="1"/>
      <c r="M11" s="1"/>
      <c r="N11" s="1"/>
      <c r="O11" s="1"/>
      <c r="P11" s="7"/>
      <c r="Q11" s="1"/>
    </row>
    <row r="12" spans="1:17" x14ac:dyDescent="0.3">
      <c r="A12" s="1"/>
      <c r="B12" s="5"/>
      <c r="C12" s="1"/>
      <c r="D12" s="1"/>
      <c r="E12" s="1"/>
      <c r="F12" s="1"/>
      <c r="G12" s="1"/>
      <c r="H12" s="1"/>
      <c r="I12" s="1"/>
      <c r="J12" s="1"/>
      <c r="K12" s="1"/>
      <c r="L12" s="1"/>
      <c r="M12" s="1"/>
      <c r="N12" s="1"/>
      <c r="O12" s="1"/>
      <c r="P12" s="7"/>
      <c r="Q12" s="1"/>
    </row>
    <row r="13" spans="1:17" x14ac:dyDescent="0.3">
      <c r="A13" s="1"/>
      <c r="B13" s="5"/>
      <c r="C13" s="1"/>
      <c r="D13" s="1"/>
      <c r="E13" s="1"/>
      <c r="F13" s="1"/>
      <c r="G13" s="1"/>
      <c r="H13" s="1"/>
      <c r="I13" s="1"/>
      <c r="J13" s="1"/>
      <c r="K13" s="1"/>
      <c r="L13" s="1"/>
      <c r="M13" s="1"/>
      <c r="N13" s="1"/>
      <c r="O13" s="1"/>
      <c r="P13" s="7"/>
      <c r="Q13" s="1"/>
    </row>
    <row r="14" spans="1:17" x14ac:dyDescent="0.3">
      <c r="A14" s="1"/>
      <c r="B14" s="5"/>
      <c r="C14" s="1"/>
      <c r="D14" s="1"/>
      <c r="E14" s="1"/>
      <c r="F14" s="1"/>
      <c r="G14" s="1"/>
      <c r="H14" s="1"/>
      <c r="I14" s="1"/>
      <c r="J14" s="1"/>
      <c r="K14" s="1"/>
      <c r="L14" s="1"/>
      <c r="M14" s="1"/>
      <c r="N14" s="1"/>
      <c r="O14" s="1"/>
      <c r="P14" s="7"/>
      <c r="Q14" s="1"/>
    </row>
    <row r="15" spans="1:17" x14ac:dyDescent="0.3">
      <c r="A15" s="1"/>
      <c r="B15" s="5"/>
      <c r="C15" s="1"/>
      <c r="D15" s="1"/>
      <c r="E15" s="1"/>
      <c r="F15" s="1"/>
      <c r="G15" s="1"/>
      <c r="H15" s="1"/>
      <c r="I15" s="1"/>
      <c r="J15" s="1"/>
      <c r="K15" s="1"/>
      <c r="L15" s="1"/>
      <c r="M15" s="1"/>
      <c r="N15" s="1"/>
      <c r="O15" s="1"/>
      <c r="P15" s="7"/>
      <c r="Q15" s="1"/>
    </row>
    <row r="16" spans="1:17" x14ac:dyDescent="0.3">
      <c r="A16" s="1"/>
      <c r="B16" s="5"/>
      <c r="C16" s="1"/>
      <c r="D16" s="1"/>
      <c r="E16" s="1"/>
      <c r="F16" s="1"/>
      <c r="G16" s="1"/>
      <c r="H16" s="1"/>
      <c r="I16" s="1"/>
      <c r="J16" s="1"/>
      <c r="K16" s="1"/>
      <c r="L16" s="1"/>
      <c r="M16" s="1"/>
      <c r="N16" s="1"/>
      <c r="O16" s="1"/>
      <c r="P16" s="7"/>
      <c r="Q16" s="1"/>
    </row>
    <row r="17" spans="1:17" x14ac:dyDescent="0.3">
      <c r="A17" s="1"/>
      <c r="B17" s="5"/>
      <c r="C17" s="1"/>
      <c r="D17" s="1"/>
      <c r="E17" s="1"/>
      <c r="F17" s="1"/>
      <c r="G17" s="1"/>
      <c r="H17" s="1"/>
      <c r="I17" s="1"/>
      <c r="J17" s="1"/>
      <c r="K17" s="1"/>
      <c r="L17" s="1"/>
      <c r="M17" s="1"/>
      <c r="N17" s="1"/>
      <c r="O17" s="1"/>
      <c r="P17" s="7"/>
      <c r="Q17" s="1"/>
    </row>
    <row r="18" spans="1:17" ht="22.8" x14ac:dyDescent="0.3">
      <c r="A18" s="1"/>
      <c r="B18" s="5"/>
      <c r="C18" s="308" t="s">
        <v>126</v>
      </c>
      <c r="D18" s="309"/>
      <c r="E18" s="309"/>
      <c r="F18" s="309"/>
      <c r="G18" s="309"/>
      <c r="H18" s="309"/>
      <c r="I18" s="309"/>
      <c r="J18" s="309"/>
      <c r="K18" s="309"/>
      <c r="L18" s="309"/>
      <c r="M18" s="310"/>
      <c r="N18" s="12"/>
      <c r="O18" s="12"/>
      <c r="P18" s="7"/>
      <c r="Q18" s="1"/>
    </row>
    <row r="19" spans="1:17" ht="16.2" thickBot="1" x14ac:dyDescent="0.35">
      <c r="A19" s="1"/>
      <c r="B19" s="5"/>
      <c r="C19" s="13"/>
      <c r="D19" s="13"/>
      <c r="E19" s="13"/>
      <c r="F19" s="13"/>
      <c r="G19" s="13"/>
      <c r="H19" s="13"/>
      <c r="I19" s="13"/>
      <c r="J19" s="13"/>
      <c r="K19" s="13"/>
      <c r="L19" s="13"/>
      <c r="M19" s="13"/>
      <c r="N19" s="14"/>
      <c r="O19" s="14"/>
      <c r="P19" s="7"/>
      <c r="Q19" s="1"/>
    </row>
    <row r="20" spans="1:17" ht="150" customHeight="1" x14ac:dyDescent="0.3">
      <c r="A20" s="1"/>
      <c r="B20" s="5"/>
      <c r="C20" s="311" t="s">
        <v>127</v>
      </c>
      <c r="D20" s="312"/>
      <c r="E20" s="140" t="s">
        <v>38</v>
      </c>
      <c r="F20" s="313" t="s">
        <v>222</v>
      </c>
      <c r="G20" s="313"/>
      <c r="H20" s="313"/>
      <c r="I20" s="313"/>
      <c r="J20" s="313"/>
      <c r="K20" s="313"/>
      <c r="L20" s="313"/>
      <c r="M20" s="314"/>
      <c r="N20" s="14"/>
      <c r="O20" s="14"/>
      <c r="P20" s="7"/>
      <c r="Q20" s="1"/>
    </row>
    <row r="21" spans="1:17" ht="126.75" customHeight="1" x14ac:dyDescent="0.3">
      <c r="A21" s="1"/>
      <c r="B21" s="5"/>
      <c r="C21" s="295" t="s">
        <v>128</v>
      </c>
      <c r="D21" s="296"/>
      <c r="E21" s="141" t="s">
        <v>38</v>
      </c>
      <c r="F21" s="315" t="s">
        <v>228</v>
      </c>
      <c r="G21" s="315"/>
      <c r="H21" s="315"/>
      <c r="I21" s="315"/>
      <c r="J21" s="315"/>
      <c r="K21" s="315"/>
      <c r="L21" s="315"/>
      <c r="M21" s="316"/>
      <c r="N21" s="14"/>
      <c r="O21" s="14"/>
      <c r="P21" s="7"/>
      <c r="Q21" s="1"/>
    </row>
    <row r="22" spans="1:17" ht="151.5" customHeight="1" thickBot="1" x14ac:dyDescent="0.35">
      <c r="A22" s="1"/>
      <c r="B22" s="5"/>
      <c r="C22" s="297" t="s">
        <v>129</v>
      </c>
      <c r="D22" s="298"/>
      <c r="E22" s="142" t="s">
        <v>38</v>
      </c>
      <c r="F22" s="317" t="s">
        <v>221</v>
      </c>
      <c r="G22" s="317"/>
      <c r="H22" s="317"/>
      <c r="I22" s="317"/>
      <c r="J22" s="317"/>
      <c r="K22" s="317"/>
      <c r="L22" s="317"/>
      <c r="M22" s="318"/>
      <c r="N22" s="14"/>
      <c r="O22" s="14"/>
      <c r="P22" s="7"/>
      <c r="Q22" s="1"/>
    </row>
    <row r="23" spans="1:17" x14ac:dyDescent="0.3">
      <c r="A23" s="1"/>
      <c r="B23" s="5"/>
      <c r="C23" s="1"/>
      <c r="D23" s="1"/>
      <c r="E23" s="1"/>
      <c r="F23" s="1"/>
      <c r="G23" s="15"/>
      <c r="H23" s="1"/>
      <c r="I23" s="1"/>
      <c r="J23" s="1"/>
      <c r="K23" s="1"/>
      <c r="L23" s="1"/>
      <c r="M23" s="1"/>
      <c r="N23" s="1"/>
      <c r="O23" s="1"/>
      <c r="P23" s="7"/>
      <c r="Q23" s="1"/>
    </row>
    <row r="24" spans="1:17" ht="73.8" x14ac:dyDescent="0.3">
      <c r="A24" s="1"/>
      <c r="B24" s="5"/>
      <c r="C24" s="91" t="s">
        <v>130</v>
      </c>
      <c r="D24" s="92"/>
      <c r="E24" s="91" t="s">
        <v>131</v>
      </c>
      <c r="F24" s="92"/>
      <c r="G24" s="91" t="s">
        <v>132</v>
      </c>
      <c r="H24" s="92"/>
      <c r="I24" s="289" t="s">
        <v>133</v>
      </c>
      <c r="J24" s="289"/>
      <c r="K24" s="289"/>
      <c r="L24" s="289"/>
      <c r="M24" s="289"/>
      <c r="N24" s="30"/>
      <c r="O24" s="30"/>
      <c r="P24" s="7"/>
      <c r="Q24" s="16"/>
    </row>
    <row r="25" spans="1:17" ht="13.5" customHeight="1" thickBot="1" x14ac:dyDescent="0.35">
      <c r="A25" s="1"/>
      <c r="B25" s="5"/>
      <c r="C25" s="29"/>
      <c r="I25" s="293"/>
      <c r="J25" s="293"/>
      <c r="K25" s="293"/>
      <c r="L25" s="293"/>
      <c r="M25" s="293"/>
      <c r="N25" s="31"/>
      <c r="O25" s="31"/>
      <c r="P25" s="7"/>
      <c r="Q25" s="1"/>
    </row>
    <row r="26" spans="1:17" ht="155.25" customHeight="1" thickBot="1" x14ac:dyDescent="0.35">
      <c r="A26" s="1"/>
      <c r="B26" s="5"/>
      <c r="C26" s="82" t="s">
        <v>32</v>
      </c>
      <c r="D26" s="17"/>
      <c r="E26" s="138" t="str">
        <f>+IF(Hoja1!K2&gt;=0.5,"Si","No")</f>
        <v>Si</v>
      </c>
      <c r="F26" s="18"/>
      <c r="G26" s="139">
        <f>+Hoja1!K2</f>
        <v>0.91666666666666663</v>
      </c>
      <c r="H26" s="18"/>
      <c r="I26" s="290" t="s">
        <v>227</v>
      </c>
      <c r="J26" s="291"/>
      <c r="K26" s="291"/>
      <c r="L26" s="291"/>
      <c r="M26" s="292"/>
      <c r="N26" s="32"/>
      <c r="O26" s="33"/>
      <c r="P26" s="19"/>
      <c r="Q26" s="20"/>
    </row>
    <row r="27" spans="1:17" ht="26.4" thickBot="1" x14ac:dyDescent="0.55000000000000004">
      <c r="A27" s="1"/>
      <c r="B27" s="5"/>
      <c r="C27" s="83"/>
      <c r="E27" s="90"/>
      <c r="G27" s="21"/>
      <c r="I27" s="294"/>
      <c r="J27" s="294"/>
      <c r="K27" s="294"/>
      <c r="L27" s="294"/>
      <c r="M27" s="294"/>
      <c r="N27" s="34"/>
      <c r="O27" s="34"/>
      <c r="P27" s="7"/>
      <c r="Q27" s="1"/>
    </row>
    <row r="28" spans="1:17" ht="111.75" customHeight="1" thickBot="1" x14ac:dyDescent="0.35">
      <c r="A28" s="1"/>
      <c r="B28" s="5"/>
      <c r="C28" s="84" t="s">
        <v>134</v>
      </c>
      <c r="D28" s="17"/>
      <c r="E28" s="138" t="str">
        <f>+IF(Hoja1!K14&gt;=0.5,"Si","No")</f>
        <v>Si</v>
      </c>
      <c r="G28" s="139">
        <f>+Hoja1!K14</f>
        <v>0.95</v>
      </c>
      <c r="I28" s="286" t="s">
        <v>226</v>
      </c>
      <c r="J28" s="287"/>
      <c r="K28" s="287"/>
      <c r="L28" s="287"/>
      <c r="M28" s="288"/>
      <c r="N28" s="32"/>
      <c r="O28" s="32"/>
      <c r="P28" s="7"/>
      <c r="Q28" s="1"/>
    </row>
    <row r="29" spans="1:17" ht="26.4" thickBot="1" x14ac:dyDescent="0.55000000000000004">
      <c r="A29" s="1"/>
      <c r="B29" s="5"/>
      <c r="C29" s="83"/>
      <c r="E29" s="90"/>
      <c r="G29" s="21"/>
      <c r="I29" s="294"/>
      <c r="J29" s="294"/>
      <c r="K29" s="294"/>
      <c r="L29" s="294"/>
      <c r="M29" s="294"/>
      <c r="N29" s="34"/>
      <c r="O29" s="34"/>
      <c r="P29" s="7"/>
      <c r="Q29" s="1"/>
    </row>
    <row r="30" spans="1:17" ht="123" customHeight="1" thickBot="1" x14ac:dyDescent="0.35">
      <c r="A30" s="1"/>
      <c r="B30" s="5"/>
      <c r="C30" s="85" t="s">
        <v>135</v>
      </c>
      <c r="D30" s="17"/>
      <c r="E30" s="138" t="str">
        <f>+IF(Hoja1!K24&gt;=0.5,"Si","No")</f>
        <v>Si</v>
      </c>
      <c r="G30" s="139">
        <f>+Hoja1!K24</f>
        <v>1</v>
      </c>
      <c r="I30" s="286" t="s">
        <v>223</v>
      </c>
      <c r="J30" s="287"/>
      <c r="K30" s="287"/>
      <c r="L30" s="287"/>
      <c r="M30" s="288"/>
      <c r="N30" s="32"/>
      <c r="O30" s="32"/>
      <c r="P30" s="7"/>
      <c r="Q30" s="1"/>
    </row>
    <row r="31" spans="1:17" ht="26.4" thickBot="1" x14ac:dyDescent="0.55000000000000004">
      <c r="A31" s="1"/>
      <c r="B31" s="5"/>
      <c r="C31" s="83"/>
      <c r="E31" s="90"/>
      <c r="G31" s="21"/>
      <c r="I31" s="294"/>
      <c r="J31" s="294"/>
      <c r="K31" s="294"/>
      <c r="L31" s="294"/>
      <c r="M31" s="294"/>
      <c r="N31" s="34"/>
      <c r="O31" s="34"/>
      <c r="P31" s="7"/>
      <c r="Q31" s="1"/>
    </row>
    <row r="32" spans="1:17" ht="171" customHeight="1" thickBot="1" x14ac:dyDescent="0.35">
      <c r="A32" s="1"/>
      <c r="B32" s="5"/>
      <c r="C32" s="86" t="s">
        <v>86</v>
      </c>
      <c r="D32" s="17"/>
      <c r="E32" s="138" t="str">
        <f>+IF(Hoja1!K29&gt;=0.5,"Si","No")</f>
        <v>Si</v>
      </c>
      <c r="G32" s="139">
        <f>+Hoja1!K29</f>
        <v>0.7857142857142857</v>
      </c>
      <c r="I32" s="286" t="s">
        <v>224</v>
      </c>
      <c r="J32" s="287"/>
      <c r="K32" s="287"/>
      <c r="L32" s="287"/>
      <c r="M32" s="288"/>
      <c r="N32" s="32"/>
      <c r="O32" s="32"/>
      <c r="P32" s="7"/>
      <c r="Q32" s="1"/>
    </row>
    <row r="33" spans="1:17" ht="26.4" thickBot="1" x14ac:dyDescent="0.55000000000000004">
      <c r="A33" s="1"/>
      <c r="B33" s="5"/>
      <c r="C33" s="83"/>
      <c r="E33" s="90"/>
      <c r="G33" s="21"/>
      <c r="I33" s="294"/>
      <c r="J33" s="294"/>
      <c r="K33" s="294"/>
      <c r="L33" s="294"/>
      <c r="M33" s="294"/>
      <c r="N33" s="34"/>
      <c r="O33" s="34"/>
      <c r="P33" s="7"/>
      <c r="Q33" s="1"/>
    </row>
    <row r="34" spans="1:17" ht="164.25" customHeight="1" thickBot="1" x14ac:dyDescent="0.35">
      <c r="A34" s="1"/>
      <c r="B34" s="5"/>
      <c r="C34" s="87" t="s">
        <v>136</v>
      </c>
      <c r="D34" s="17"/>
      <c r="E34" s="89" t="str">
        <f>+IF(Hoja1!K36&gt;=0.5,"Si","No")</f>
        <v>Si</v>
      </c>
      <c r="G34" s="139">
        <f>+Hoja1!K36</f>
        <v>1</v>
      </c>
      <c r="I34" s="286" t="s">
        <v>225</v>
      </c>
      <c r="J34" s="287"/>
      <c r="K34" s="287"/>
      <c r="L34" s="287"/>
      <c r="M34" s="288"/>
      <c r="N34" s="32"/>
      <c r="O34" s="32"/>
      <c r="P34" s="7"/>
      <c r="Q34" s="1"/>
    </row>
    <row r="35" spans="1:17" ht="15.6" x14ac:dyDescent="0.3">
      <c r="A35" s="1"/>
      <c r="B35" s="5"/>
      <c r="C35" s="22"/>
      <c r="D35" s="22"/>
      <c r="E35" s="14"/>
      <c r="F35" s="1"/>
      <c r="G35" s="1"/>
      <c r="H35" s="1"/>
      <c r="I35" s="1"/>
      <c r="J35" s="1"/>
      <c r="K35" s="1"/>
      <c r="L35" s="1"/>
      <c r="M35" s="23"/>
      <c r="N35" s="23"/>
      <c r="O35" s="23"/>
      <c r="P35" s="7"/>
      <c r="Q35" s="1"/>
    </row>
    <row r="36" spans="1:17" ht="15.6" x14ac:dyDescent="0.3">
      <c r="A36" s="1"/>
      <c r="B36" s="5"/>
      <c r="C36" s="24"/>
      <c r="D36" s="22"/>
      <c r="E36" s="14"/>
      <c r="F36" s="1"/>
      <c r="G36" s="1"/>
      <c r="H36" s="1"/>
      <c r="I36" s="1"/>
      <c r="J36" s="1"/>
      <c r="K36" s="1"/>
      <c r="L36" s="1"/>
      <c r="M36" s="23"/>
      <c r="N36" s="23"/>
      <c r="O36" s="23"/>
      <c r="P36" s="7"/>
      <c r="Q36" s="1"/>
    </row>
    <row r="37" spans="1:17" x14ac:dyDescent="0.3">
      <c r="A37" s="1"/>
      <c r="B37" s="5"/>
      <c r="C37" s="25"/>
      <c r="D37" s="1"/>
      <c r="E37" s="1"/>
      <c r="F37" s="1"/>
      <c r="G37" s="1"/>
      <c r="H37" s="1"/>
      <c r="I37" s="1"/>
      <c r="J37" s="1"/>
      <c r="K37" s="1"/>
      <c r="L37" s="1"/>
      <c r="M37" s="1"/>
      <c r="N37" s="1"/>
      <c r="O37" s="1"/>
      <c r="P37" s="7"/>
      <c r="Q37" s="1"/>
    </row>
    <row r="38" spans="1:17" ht="15" thickBot="1" x14ac:dyDescent="0.35">
      <c r="A38" s="1"/>
      <c r="B38" s="26"/>
      <c r="C38" s="27"/>
      <c r="D38" s="27"/>
      <c r="E38" s="27"/>
      <c r="F38" s="27"/>
      <c r="G38" s="27"/>
      <c r="H38" s="27"/>
      <c r="I38" s="27"/>
      <c r="J38" s="27"/>
      <c r="K38" s="27"/>
      <c r="L38" s="27"/>
      <c r="M38" s="27"/>
      <c r="N38" s="27"/>
      <c r="O38" s="27"/>
      <c r="P38" s="28"/>
      <c r="Q38" s="1"/>
    </row>
    <row r="39" spans="1:17" ht="15" thickTop="1" x14ac:dyDescent="0.3">
      <c r="A39" s="1"/>
      <c r="B39" s="1"/>
      <c r="C39" s="1"/>
      <c r="D39" s="1"/>
      <c r="E39" s="1"/>
      <c r="F39" s="1"/>
      <c r="G39" s="1"/>
      <c r="H39" s="1"/>
      <c r="I39" s="1"/>
      <c r="J39" s="1"/>
      <c r="K39" s="1"/>
      <c r="L39" s="1"/>
      <c r="M39" s="1"/>
      <c r="N39" s="1"/>
      <c r="O39" s="1"/>
      <c r="P39" s="1"/>
      <c r="Q39" s="1"/>
    </row>
    <row r="40" spans="1:17" x14ac:dyDescent="0.3">
      <c r="A40" s="1"/>
      <c r="B40" s="1"/>
      <c r="C40" s="1"/>
      <c r="D40" s="1"/>
      <c r="E40" s="1"/>
      <c r="F40" s="1"/>
      <c r="G40" s="1"/>
      <c r="H40" s="1"/>
      <c r="I40" s="1"/>
      <c r="J40" s="1"/>
      <c r="K40" s="1"/>
      <c r="L40" s="1"/>
      <c r="M40" s="1"/>
      <c r="N40" s="1"/>
      <c r="O40" s="1"/>
      <c r="P40" s="1"/>
      <c r="Q40" s="1"/>
    </row>
    <row r="41" spans="1:17" x14ac:dyDescent="0.3">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C21:D21"/>
    <mergeCell ref="C22:D22"/>
    <mergeCell ref="E4:E5"/>
    <mergeCell ref="F4:M5"/>
    <mergeCell ref="F6:M6"/>
    <mergeCell ref="I8:K8"/>
    <mergeCell ref="C18:M18"/>
    <mergeCell ref="C20:D20"/>
    <mergeCell ref="F20:M20"/>
    <mergeCell ref="F21:M21"/>
    <mergeCell ref="F22:M22"/>
    <mergeCell ref="I34:M34"/>
    <mergeCell ref="I30:M30"/>
    <mergeCell ref="I32:M32"/>
    <mergeCell ref="I24:M24"/>
    <mergeCell ref="I26:M26"/>
    <mergeCell ref="I28:M28"/>
    <mergeCell ref="I25:M25"/>
    <mergeCell ref="I27:M27"/>
    <mergeCell ref="I29:M29"/>
    <mergeCell ref="I31:M31"/>
    <mergeCell ref="I33:M33"/>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5" priority="1" operator="between">
      <formula>0.75</formula>
      <formula>1</formula>
    </cfRule>
    <cfRule type="cellIs" dxfId="4" priority="2" operator="between">
      <formula>0.5</formula>
      <formula>0.75</formula>
    </cfRule>
    <cfRule type="cellIs" dxfId="3" priority="3" operator="between">
      <formula>0</formula>
      <formula>0.49</formula>
    </cfRule>
    <cfRule type="cellIs" priority="27" operator="between">
      <formula>0.76</formula>
      <formula>1</formula>
    </cfRule>
    <cfRule type="cellIs" dxfId="2" priority="28" operator="between">
      <formula>0.51</formula>
      <formula>0.75</formula>
    </cfRule>
    <cfRule type="cellIs" dxfId="1" priority="29" operator="between">
      <formula>0.26</formula>
      <formula>0.5</formula>
    </cfRule>
    <cfRule type="cellIs" dxfId="0" priority="30" operator="between">
      <formula>0</formula>
      <formula>0.25</formula>
    </cfRule>
  </conditionalFormatting>
  <dataValidations count="3">
    <dataValidation type="list" allowBlank="1" showInputMessage="1" showErrorMessage="1" sqref="E21:E22" xr:uid="{00000000-0002-0000-0300-000000000000}">
      <formula1>"Si, No"</formula1>
    </dataValidation>
    <dataValidation allowBlank="1" showInputMessage="1" showErrorMessage="1" prompt="Celda formulada, información proveniente de la pestaña de deficiencias." sqref="E24" xr:uid="{00000000-0002-0000-0300-000001000000}"/>
    <dataValidation type="list" allowBlank="1" showInputMessage="1" showErrorMessage="1" sqref="E20" xr:uid="{00000000-0002-0000-0300-00000200000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workbookViewId="0">
      <selection activeCell="F2" sqref="F2"/>
    </sheetView>
  </sheetViews>
  <sheetFormatPr baseColWidth="10" defaultColWidth="11.44140625" defaultRowHeight="14.4" x14ac:dyDescent="0.3"/>
  <cols>
    <col min="2" max="2" width="31" bestFit="1" customWidth="1"/>
    <col min="3" max="3" width="17.109375" customWidth="1"/>
    <col min="5" max="5" width="15.109375" customWidth="1"/>
    <col min="10" max="10" width="15.6640625" customWidth="1"/>
    <col min="11" max="11" width="12" bestFit="1" customWidth="1"/>
  </cols>
  <sheetData>
    <row r="1" spans="1:11" ht="84.75" customHeight="1" x14ac:dyDescent="0.3">
      <c r="A1" s="143" t="s">
        <v>25</v>
      </c>
      <c r="B1" s="143" t="s">
        <v>6</v>
      </c>
      <c r="C1" s="144" t="s">
        <v>8</v>
      </c>
      <c r="D1" s="145" t="s">
        <v>26</v>
      </c>
      <c r="E1" s="145" t="s">
        <v>27</v>
      </c>
      <c r="F1" s="145" t="s">
        <v>137</v>
      </c>
      <c r="G1" s="146" t="s">
        <v>138</v>
      </c>
      <c r="H1" s="146" t="s">
        <v>139</v>
      </c>
      <c r="I1" s="146" t="s">
        <v>118</v>
      </c>
      <c r="J1" s="146" t="s">
        <v>140</v>
      </c>
      <c r="K1" s="146" t="s">
        <v>141</v>
      </c>
    </row>
    <row r="2" spans="1:11" x14ac:dyDescent="0.3">
      <c r="A2" s="147" t="s">
        <v>142</v>
      </c>
      <c r="B2" s="147" t="str">
        <f>+VLOOKUP(A2,'Estado SCI'!$A$16:$C$59,3,0)</f>
        <v>AMBIENTE DE CONTROL</v>
      </c>
      <c r="C2" s="147" t="s">
        <v>33</v>
      </c>
      <c r="D2" s="147" t="s">
        <v>34</v>
      </c>
      <c r="E2" s="147" t="s">
        <v>35</v>
      </c>
      <c r="F2" s="147" t="str">
        <f>+VLOOKUP(A2,'Estado SCI'!$A$16:$I$59,9,0)</f>
        <v>Mantenimiento del control</v>
      </c>
      <c r="G2" s="147">
        <f>+VLOOKUP(A2,'Estado SCI'!$A$16:$L$59,12,0)</f>
        <v>20.123000000000001</v>
      </c>
      <c r="H2" s="147">
        <f t="shared" ref="H2:H45" si="0">+_xlfn.RANK.EQ(G2,$G$2:$G$45,1)</f>
        <v>3</v>
      </c>
      <c r="I2" s="147" t="str">
        <f>+IF(VLOOKUP(A2,'Estado SCI'!$A$16:$G$59,7,0)="","",VLOOKUP(A2,'Estado SCI'!$A$16:$G$59,7,0))</f>
        <v>Si</v>
      </c>
      <c r="J2" s="148">
        <f>+IF(I2="Si",1,IF(I2="En proceso",0.5,0))</f>
        <v>1</v>
      </c>
      <c r="K2" s="149">
        <f t="shared" ref="K2:K45" si="1">+AVERAGEIF($B$2:$B$45,B2,$J$2:$J$45)</f>
        <v>0.91666666666666663</v>
      </c>
    </row>
    <row r="3" spans="1:11" x14ac:dyDescent="0.3">
      <c r="A3" s="147" t="s">
        <v>143</v>
      </c>
      <c r="B3" s="147" t="s">
        <v>32</v>
      </c>
      <c r="C3" s="147" t="s">
        <v>33</v>
      </c>
      <c r="D3" s="147" t="s">
        <v>36</v>
      </c>
      <c r="E3" s="147" t="s">
        <v>37</v>
      </c>
      <c r="F3" s="147" t="str">
        <f>+VLOOKUP(A3,'Estado SCI'!$A$16:$I$59,9,0)</f>
        <v>Mantenimiento del control</v>
      </c>
      <c r="G3" s="147">
        <f>+VLOOKUP(A3,'Estado SCI'!$A$16:$L$59,12,0)</f>
        <v>20.1234</v>
      </c>
      <c r="H3" s="147">
        <f t="shared" si="0"/>
        <v>4</v>
      </c>
      <c r="I3" s="147" t="str">
        <f>+IF(VLOOKUP(A3,'Estado SCI'!$A$16:$G$59,7,0)="","",VLOOKUP(A3,'Estado SCI'!$A$16:$G$59,7,0))</f>
        <v>Si</v>
      </c>
      <c r="J3" s="148">
        <f t="shared" ref="J3:J45" si="2">+IF(I3="Si",1,IF(I3="En proceso",0.5,0))</f>
        <v>1</v>
      </c>
      <c r="K3" s="149">
        <f t="shared" si="1"/>
        <v>0.91666666666666663</v>
      </c>
    </row>
    <row r="4" spans="1:11" x14ac:dyDescent="0.3">
      <c r="A4" s="147" t="s">
        <v>144</v>
      </c>
      <c r="B4" s="147" t="s">
        <v>32</v>
      </c>
      <c r="C4" s="147" t="s">
        <v>33</v>
      </c>
      <c r="D4" s="147" t="s">
        <v>39</v>
      </c>
      <c r="E4" s="147" t="s">
        <v>40</v>
      </c>
      <c r="F4" s="147" t="str">
        <f>+VLOOKUP(A4,'Estado SCI'!$A$16:$I$59,9,0)</f>
        <v>Mantenimiento del control</v>
      </c>
      <c r="G4" s="147">
        <f>+VLOOKUP(A4,'Estado SCI'!$A$16:$L$59,12,0)</f>
        <v>20.123449999999998</v>
      </c>
      <c r="H4" s="147">
        <f t="shared" si="0"/>
        <v>5</v>
      </c>
      <c r="I4" s="147" t="str">
        <f>+IF(VLOOKUP(A4,'Estado SCI'!$A$16:$G$59,7,0)="","",VLOOKUP(A4,'Estado SCI'!$A$16:$G$59,7,0))</f>
        <v>Si</v>
      </c>
      <c r="J4" s="148">
        <f t="shared" si="2"/>
        <v>1</v>
      </c>
      <c r="K4" s="149">
        <f t="shared" si="1"/>
        <v>0.91666666666666663</v>
      </c>
    </row>
    <row r="5" spans="1:11" x14ac:dyDescent="0.3">
      <c r="A5" s="147" t="s">
        <v>145</v>
      </c>
      <c r="B5" s="147" t="s">
        <v>32</v>
      </c>
      <c r="C5" s="147" t="s">
        <v>33</v>
      </c>
      <c r="D5" s="147" t="s">
        <v>41</v>
      </c>
      <c r="E5" s="147" t="s">
        <v>42</v>
      </c>
      <c r="F5" s="147" t="str">
        <f>+VLOOKUP(A5,'Estado SCI'!$A$16:$I$59,9,0)</f>
        <v>Mantenimiento del control</v>
      </c>
      <c r="G5" s="147">
        <f>+VLOOKUP(A5,'Estado SCI'!$A$16:$L$59,12,0)</f>
        <v>20.123456000000001</v>
      </c>
      <c r="H5" s="147">
        <f t="shared" si="0"/>
        <v>6</v>
      </c>
      <c r="I5" s="147" t="str">
        <f>+IF(VLOOKUP(A5,'Estado SCI'!$A$16:$G$59,7,0)="","",VLOOKUP(A5,'Estado SCI'!$A$16:$G$59,7,0))</f>
        <v>Si</v>
      </c>
      <c r="J5" s="148">
        <f t="shared" si="2"/>
        <v>1</v>
      </c>
      <c r="K5" s="149">
        <f t="shared" si="1"/>
        <v>0.91666666666666663</v>
      </c>
    </row>
    <row r="6" spans="1:11" x14ac:dyDescent="0.3">
      <c r="A6" s="147" t="s">
        <v>146</v>
      </c>
      <c r="B6" s="147" t="s">
        <v>32</v>
      </c>
      <c r="C6" s="147" t="s">
        <v>33</v>
      </c>
      <c r="D6" s="147" t="s">
        <v>43</v>
      </c>
      <c r="E6" s="147" t="s">
        <v>44</v>
      </c>
      <c r="F6" s="147" t="str">
        <f>+VLOOKUP(A6,'Estado SCI'!$A$16:$I$59,9,0)</f>
        <v>Mantenimiento del control</v>
      </c>
      <c r="G6" s="147">
        <f>+VLOOKUP(A6,'Estado SCI'!$A$16:$L$59,12,0)</f>
        <v>20.123456780000001</v>
      </c>
      <c r="H6" s="147">
        <f t="shared" si="0"/>
        <v>7</v>
      </c>
      <c r="I6" s="147" t="str">
        <f>+IF(VLOOKUP(A6,'Estado SCI'!$A$16:$G$59,7,0)="","",VLOOKUP(A6,'Estado SCI'!$A$16:$G$59,7,0))</f>
        <v>Si</v>
      </c>
      <c r="J6" s="148">
        <f t="shared" si="2"/>
        <v>1</v>
      </c>
      <c r="K6" s="149">
        <f t="shared" si="1"/>
        <v>0.91666666666666663</v>
      </c>
    </row>
    <row r="7" spans="1:11" x14ac:dyDescent="0.3">
      <c r="A7" s="147" t="s">
        <v>147</v>
      </c>
      <c r="B7" s="147" t="s">
        <v>32</v>
      </c>
      <c r="C7" s="147" t="s">
        <v>33</v>
      </c>
      <c r="D7" s="147" t="s">
        <v>45</v>
      </c>
      <c r="E7" s="147" t="s">
        <v>46</v>
      </c>
      <c r="F7" s="147" t="str">
        <f>+VLOOKUP(A7,'Estado SCI'!$A$16:$I$59,9,0)</f>
        <v>Mantenimiento del control</v>
      </c>
      <c r="G7" s="147">
        <f>+VLOOKUP(A7,'Estado SCI'!$A$16:$L$59,12,0)</f>
        <v>20.123456788999999</v>
      </c>
      <c r="H7" s="147">
        <f t="shared" si="0"/>
        <v>8</v>
      </c>
      <c r="I7" s="147" t="str">
        <f>+IF(VLOOKUP(A7,'Estado SCI'!$A$16:$G$59,7,0)="","",VLOOKUP(A7,'Estado SCI'!$A$16:$G$59,7,0))</f>
        <v>Si</v>
      </c>
      <c r="J7" s="148">
        <f t="shared" si="2"/>
        <v>1</v>
      </c>
      <c r="K7" s="149">
        <f t="shared" si="1"/>
        <v>0.91666666666666663</v>
      </c>
    </row>
    <row r="8" spans="1:11" x14ac:dyDescent="0.3">
      <c r="A8" s="147" t="s">
        <v>148</v>
      </c>
      <c r="B8" s="147" t="s">
        <v>32</v>
      </c>
      <c r="C8" s="147" t="s">
        <v>33</v>
      </c>
      <c r="D8" s="147" t="s">
        <v>47</v>
      </c>
      <c r="E8" s="147" t="s">
        <v>48</v>
      </c>
      <c r="F8" s="147" t="str">
        <f>+VLOOKUP(A8,'Estado SCI'!$A$16:$I$59,9,0)</f>
        <v>Mantenimiento del control</v>
      </c>
      <c r="G8" s="147">
        <f>+VLOOKUP(A8,'Estado SCI'!$A$16:$L$59,12,0)</f>
        <v>20.1234567891</v>
      </c>
      <c r="H8" s="147">
        <f t="shared" si="0"/>
        <v>9</v>
      </c>
      <c r="I8" s="147" t="str">
        <f>+IF(VLOOKUP(A8,'Estado SCI'!$A$16:$G$59,7,0)="","",VLOOKUP(A8,'Estado SCI'!$A$16:$G$59,7,0))</f>
        <v>Si</v>
      </c>
      <c r="J8" s="148">
        <f t="shared" si="2"/>
        <v>1</v>
      </c>
      <c r="K8" s="149">
        <f t="shared" si="1"/>
        <v>0.91666666666666663</v>
      </c>
    </row>
    <row r="9" spans="1:11" x14ac:dyDescent="0.3">
      <c r="A9" s="147" t="s">
        <v>149</v>
      </c>
      <c r="B9" s="147" t="s">
        <v>32</v>
      </c>
      <c r="C9" s="147" t="s">
        <v>33</v>
      </c>
      <c r="D9" s="147" t="s">
        <v>49</v>
      </c>
      <c r="E9" s="147" t="s">
        <v>50</v>
      </c>
      <c r="F9" s="147" t="str">
        <f>+VLOOKUP(A9,'Estado SCI'!$A$16:$I$59,9,0)</f>
        <v>Mantenimiento del control</v>
      </c>
      <c r="G9" s="147">
        <f>+VLOOKUP(A9,'Estado SCI'!$A$16:$L$59,12,0)</f>
        <v>20.123456789119999</v>
      </c>
      <c r="H9" s="147">
        <f t="shared" si="0"/>
        <v>10</v>
      </c>
      <c r="I9" s="147" t="str">
        <f>+IF(VLOOKUP(A9,'Estado SCI'!$A$16:$G$59,7,0)="","",VLOOKUP(A9,'Estado SCI'!$A$16:$G$59,7,0))</f>
        <v>Si</v>
      </c>
      <c r="J9" s="148">
        <f t="shared" si="2"/>
        <v>1</v>
      </c>
      <c r="K9" s="149">
        <f t="shared" si="1"/>
        <v>0.91666666666666663</v>
      </c>
    </row>
    <row r="10" spans="1:11" x14ac:dyDescent="0.3">
      <c r="A10" s="147" t="s">
        <v>150</v>
      </c>
      <c r="B10" s="147" t="s">
        <v>32</v>
      </c>
      <c r="C10" s="147" t="s">
        <v>33</v>
      </c>
      <c r="D10" s="147" t="s">
        <v>51</v>
      </c>
      <c r="E10" s="147" t="s">
        <v>52</v>
      </c>
      <c r="F10" s="147" t="str">
        <f>+VLOOKUP(A10,'Estado SCI'!$A$16:$I$59,9,0)</f>
        <v>Oportunidad de mejora</v>
      </c>
      <c r="G10" s="147">
        <f>+VLOOKUP(A10,'Estado SCI'!$A$16:$L$59,12,0)</f>
        <v>10.123456789123001</v>
      </c>
      <c r="H10" s="147">
        <f t="shared" si="0"/>
        <v>1</v>
      </c>
      <c r="I10" s="147" t="str">
        <f>+IF(VLOOKUP(A10,'Estado SCI'!$A$16:$G$59,7,0)="","",VLOOKUP(A10,'Estado SCI'!$A$16:$G$59,7,0))</f>
        <v>En proceso</v>
      </c>
      <c r="J10" s="148">
        <f t="shared" si="2"/>
        <v>0.5</v>
      </c>
      <c r="K10" s="149">
        <f t="shared" si="1"/>
        <v>0.91666666666666663</v>
      </c>
    </row>
    <row r="11" spans="1:11" x14ac:dyDescent="0.3">
      <c r="A11" s="147" t="s">
        <v>151</v>
      </c>
      <c r="B11" s="147" t="s">
        <v>32</v>
      </c>
      <c r="C11" s="147" t="s">
        <v>33</v>
      </c>
      <c r="D11" s="147" t="s">
        <v>53</v>
      </c>
      <c r="E11" s="147" t="s">
        <v>54</v>
      </c>
      <c r="F11" s="147" t="str">
        <f>+VLOOKUP(A11,'Estado SCI'!$A$16:$I$59,9,0)</f>
        <v>Oportunidad de mejora</v>
      </c>
      <c r="G11" s="147">
        <f>+VLOOKUP(A11,'Estado SCI'!$A$16:$L$59,12,0)</f>
        <v>10.1234567891234</v>
      </c>
      <c r="H11" s="147">
        <f t="shared" si="0"/>
        <v>2</v>
      </c>
      <c r="I11" s="147" t="str">
        <f>+IF(VLOOKUP(A11,'Estado SCI'!$A$16:$G$59,7,0)="","",VLOOKUP(A11,'Estado SCI'!$A$16:$G$59,7,0))</f>
        <v>En proceso</v>
      </c>
      <c r="J11" s="148">
        <f t="shared" si="2"/>
        <v>0.5</v>
      </c>
      <c r="K11" s="149">
        <f t="shared" si="1"/>
        <v>0.91666666666666663</v>
      </c>
    </row>
    <row r="12" spans="1:11" x14ac:dyDescent="0.3">
      <c r="A12" s="147" t="s">
        <v>152</v>
      </c>
      <c r="B12" s="147" t="s">
        <v>32</v>
      </c>
      <c r="C12" s="147" t="s">
        <v>33</v>
      </c>
      <c r="D12" s="147" t="s">
        <v>55</v>
      </c>
      <c r="E12" s="147" t="s">
        <v>56</v>
      </c>
      <c r="F12" s="147" t="str">
        <f>+VLOOKUP(A12,'Estado SCI'!$A$16:$I$59,9,0)</f>
        <v>Mantenimiento del control</v>
      </c>
      <c r="G12" s="147">
        <f>+VLOOKUP(A12,'Estado SCI'!$A$16:$L$59,12,0)</f>
        <v>20.123456789123448</v>
      </c>
      <c r="H12" s="147">
        <f t="shared" si="0"/>
        <v>11</v>
      </c>
      <c r="I12" s="147" t="str">
        <f>+IF(VLOOKUP(A12,'Estado SCI'!$A$16:$G$59,7,0)="","",VLOOKUP(A12,'Estado SCI'!$A$16:$G$59,7,0))</f>
        <v>Si</v>
      </c>
      <c r="J12" s="148">
        <f t="shared" si="2"/>
        <v>1</v>
      </c>
      <c r="K12" s="149">
        <f t="shared" si="1"/>
        <v>0.91666666666666663</v>
      </c>
    </row>
    <row r="13" spans="1:11" x14ac:dyDescent="0.3">
      <c r="A13" s="147" t="s">
        <v>153</v>
      </c>
      <c r="B13" s="147" t="s">
        <v>32</v>
      </c>
      <c r="C13" s="147" t="s">
        <v>33</v>
      </c>
      <c r="D13" s="147" t="s">
        <v>57</v>
      </c>
      <c r="E13" s="147" t="s">
        <v>58</v>
      </c>
      <c r="F13" s="147" t="str">
        <f>+VLOOKUP(A13,'Estado SCI'!$A$16:$I$59,9,0)</f>
        <v>Mantenimiento del control</v>
      </c>
      <c r="G13" s="147">
        <f>+VLOOKUP(A13,'Estado SCI'!$A$16:$L$59,12,0)</f>
        <v>20.123456789123455</v>
      </c>
      <c r="H13" s="147">
        <f t="shared" si="0"/>
        <v>12</v>
      </c>
      <c r="I13" s="147" t="str">
        <f>+IF(VLOOKUP(A13,'Estado SCI'!$A$16:$G$59,7,0)="","",VLOOKUP(A13,'Estado SCI'!$A$16:$G$59,7,0))</f>
        <v>Si</v>
      </c>
      <c r="J13" s="148">
        <f t="shared" si="2"/>
        <v>1</v>
      </c>
      <c r="K13" s="149">
        <f t="shared" si="1"/>
        <v>0.91666666666666663</v>
      </c>
    </row>
    <row r="14" spans="1:11" ht="15" customHeight="1" x14ac:dyDescent="0.3">
      <c r="A14" s="147" t="s">
        <v>154</v>
      </c>
      <c r="B14" s="147" t="str">
        <f>+VLOOKUP(A14,'Estado SCI'!$A$16:$C$59,3,0)</f>
        <v>EVALUACION DEL RIESGO</v>
      </c>
      <c r="C14" s="147" t="s">
        <v>61</v>
      </c>
      <c r="D14" s="147" t="s">
        <v>34</v>
      </c>
      <c r="E14" s="147" t="s">
        <v>155</v>
      </c>
      <c r="F14" s="147" t="str">
        <f>+VLOOKUP(A14,'Estado SCI'!$A$16:$I$59,9,0)</f>
        <v>Mantenimiento del control</v>
      </c>
      <c r="G14" s="147">
        <f>+VLOOKUP(A14,'Estado SCI'!$A$16:$L$59,12,0)</f>
        <v>40.229999999999997</v>
      </c>
      <c r="H14" s="147">
        <f t="shared" si="0"/>
        <v>14</v>
      </c>
      <c r="I14" s="147" t="str">
        <f>+IF(VLOOKUP(A14,'Estado SCI'!$A$16:$G$59,7,0)="","",VLOOKUP(A14,'Estado SCI'!$A$16:$G$59,7,0))</f>
        <v>Si</v>
      </c>
      <c r="J14" s="148">
        <f t="shared" si="2"/>
        <v>1</v>
      </c>
      <c r="K14" s="149">
        <f t="shared" si="1"/>
        <v>0.95</v>
      </c>
    </row>
    <row r="15" spans="1:11" ht="15" customHeight="1" x14ac:dyDescent="0.3">
      <c r="A15" s="147" t="s">
        <v>156</v>
      </c>
      <c r="B15" s="147" t="s">
        <v>60</v>
      </c>
      <c r="C15" s="147" t="s">
        <v>61</v>
      </c>
      <c r="D15" s="147" t="s">
        <v>36</v>
      </c>
      <c r="E15" s="147" t="s">
        <v>157</v>
      </c>
      <c r="F15" s="147" t="str">
        <f>+VLOOKUP(A15,'Estado SCI'!$A$16:$I$59,9,0)</f>
        <v>Mantenimiento del control</v>
      </c>
      <c r="G15" s="147">
        <f>+VLOOKUP(A15,'Estado SCI'!$A$16:$L$59,12,0)</f>
        <v>40.234000000000002</v>
      </c>
      <c r="H15" s="147">
        <f t="shared" si="0"/>
        <v>15</v>
      </c>
      <c r="I15" s="147" t="str">
        <f>+IF(VLOOKUP(A15,'Estado SCI'!$A$16:$G$59,7,0)="","",VLOOKUP(A15,'Estado SCI'!$A$16:$G$59,7,0))</f>
        <v>Si</v>
      </c>
      <c r="J15" s="148">
        <f t="shared" si="2"/>
        <v>1</v>
      </c>
      <c r="K15" s="149">
        <f t="shared" si="1"/>
        <v>0.95</v>
      </c>
    </row>
    <row r="16" spans="1:11" ht="15" customHeight="1" x14ac:dyDescent="0.3">
      <c r="A16" s="147" t="s">
        <v>158</v>
      </c>
      <c r="B16" s="147" t="s">
        <v>60</v>
      </c>
      <c r="C16" s="147" t="s">
        <v>61</v>
      </c>
      <c r="D16" s="147" t="s">
        <v>39</v>
      </c>
      <c r="E16" s="147" t="s">
        <v>159</v>
      </c>
      <c r="F16" s="147" t="str">
        <f>+VLOOKUP(A16,'Estado SCI'!$A$16:$I$59,9,0)</f>
        <v>Mantenimiento del control</v>
      </c>
      <c r="G16" s="147">
        <f>+VLOOKUP(A16,'Estado SCI'!$A$16:$L$59,12,0)</f>
        <v>40.234499999999997</v>
      </c>
      <c r="H16" s="147">
        <f t="shared" si="0"/>
        <v>16</v>
      </c>
      <c r="I16" s="147" t="str">
        <f>+IF(VLOOKUP(A16,'Estado SCI'!$A$16:$G$59,7,0)="","",VLOOKUP(A16,'Estado SCI'!$A$16:$G$59,7,0))</f>
        <v>Si</v>
      </c>
      <c r="J16" s="148">
        <f t="shared" si="2"/>
        <v>1</v>
      </c>
      <c r="K16" s="149">
        <f t="shared" si="1"/>
        <v>0.95</v>
      </c>
    </row>
    <row r="17" spans="1:11" ht="15.75" customHeight="1" x14ac:dyDescent="0.3">
      <c r="A17" s="147" t="s">
        <v>160</v>
      </c>
      <c r="B17" s="147" t="s">
        <v>60</v>
      </c>
      <c r="C17" s="147" t="s">
        <v>61</v>
      </c>
      <c r="D17" s="147" t="s">
        <v>41</v>
      </c>
      <c r="E17" s="147" t="s">
        <v>65</v>
      </c>
      <c r="F17" s="147" t="str">
        <f>+VLOOKUP(A17,'Estado SCI'!$A$16:$I$59,9,0)</f>
        <v>Mantenimiento del control</v>
      </c>
      <c r="G17" s="147">
        <f>+VLOOKUP(A17,'Estado SCI'!$A$16:$L$59,12,0)</f>
        <v>40.234560000000002</v>
      </c>
      <c r="H17" s="147">
        <f t="shared" si="0"/>
        <v>17</v>
      </c>
      <c r="I17" s="147" t="str">
        <f>+IF(VLOOKUP(A17,'Estado SCI'!$A$16:$G$59,7,0)="","",VLOOKUP(A17,'Estado SCI'!$A$16:$G$59,7,0))</f>
        <v>Si</v>
      </c>
      <c r="J17" s="148">
        <f t="shared" si="2"/>
        <v>1</v>
      </c>
      <c r="K17" s="149">
        <f t="shared" si="1"/>
        <v>0.95</v>
      </c>
    </row>
    <row r="18" spans="1:11" ht="15" customHeight="1" x14ac:dyDescent="0.3">
      <c r="A18" s="147" t="s">
        <v>161</v>
      </c>
      <c r="B18" s="147" t="s">
        <v>60</v>
      </c>
      <c r="C18" s="147" t="s">
        <v>79</v>
      </c>
      <c r="D18" s="147" t="s">
        <v>34</v>
      </c>
      <c r="E18" s="147" t="s">
        <v>68</v>
      </c>
      <c r="F18" s="147" t="str">
        <f>+VLOOKUP(A18,'Estado SCI'!$A$16:$I$59,9,0)</f>
        <v>Mantenimiento del control</v>
      </c>
      <c r="G18" s="147">
        <f>+VLOOKUP(A18,'Estado SCI'!$A$16:$L$59,12,0)</f>
        <v>40.234566999999998</v>
      </c>
      <c r="H18" s="147">
        <f t="shared" si="0"/>
        <v>18</v>
      </c>
      <c r="I18" s="147" t="str">
        <f>+IF(VLOOKUP(A18,'Estado SCI'!$A$16:$G$59,7,0)="","",VLOOKUP(A18,'Estado SCI'!$A$16:$G$59,7,0))</f>
        <v>Si</v>
      </c>
      <c r="J18" s="148">
        <f t="shared" si="2"/>
        <v>1</v>
      </c>
      <c r="K18" s="149">
        <f t="shared" si="1"/>
        <v>0.95</v>
      </c>
    </row>
    <row r="19" spans="1:11" ht="15" customHeight="1" x14ac:dyDescent="0.3">
      <c r="A19" s="147" t="s">
        <v>162</v>
      </c>
      <c r="B19" s="147" t="s">
        <v>60</v>
      </c>
      <c r="C19" s="147" t="s">
        <v>79</v>
      </c>
      <c r="D19" s="147" t="s">
        <v>36</v>
      </c>
      <c r="E19" s="147" t="s">
        <v>69</v>
      </c>
      <c r="F19" s="147" t="str">
        <f>+VLOOKUP(A19,'Estado SCI'!$A$16:$I$59,9,0)</f>
        <v>Mantenimiento del control</v>
      </c>
      <c r="G19" s="147">
        <f>+VLOOKUP(A19,'Estado SCI'!$A$16:$L$59,12,0)</f>
        <v>40.234567800000001</v>
      </c>
      <c r="H19" s="147">
        <f t="shared" si="0"/>
        <v>19</v>
      </c>
      <c r="I19" s="147" t="str">
        <f>+IF(VLOOKUP(A19,'Estado SCI'!$A$16:$G$59,7,0)="","",VLOOKUP(A19,'Estado SCI'!$A$16:$G$59,7,0))</f>
        <v>Si</v>
      </c>
      <c r="J19" s="148">
        <f t="shared" si="2"/>
        <v>1</v>
      </c>
      <c r="K19" s="149">
        <f t="shared" si="1"/>
        <v>0.95</v>
      </c>
    </row>
    <row r="20" spans="1:11" ht="15" customHeight="1" x14ac:dyDescent="0.3">
      <c r="A20" s="147" t="s">
        <v>163</v>
      </c>
      <c r="B20" s="147" t="s">
        <v>60</v>
      </c>
      <c r="C20" s="147" t="s">
        <v>79</v>
      </c>
      <c r="D20" s="147" t="s">
        <v>39</v>
      </c>
      <c r="E20" s="147" t="s">
        <v>70</v>
      </c>
      <c r="F20" s="147" t="str">
        <f>+VLOOKUP(A20,'Estado SCI'!$A$16:$I$59,9,0)</f>
        <v>Mantenimiento del control</v>
      </c>
      <c r="G20" s="147">
        <f>+VLOOKUP(A20,'Estado SCI'!$A$16:$L$59,12,0)</f>
        <v>40.234567890000001</v>
      </c>
      <c r="H20" s="147">
        <f t="shared" si="0"/>
        <v>20</v>
      </c>
      <c r="I20" s="147" t="str">
        <f>+IF(VLOOKUP(A20,'Estado SCI'!$A$16:$G$59,7,0)="","",VLOOKUP(A20,'Estado SCI'!$A$16:$G$59,7,0))</f>
        <v>Si</v>
      </c>
      <c r="J20" s="148">
        <f t="shared" si="2"/>
        <v>1</v>
      </c>
      <c r="K20" s="149">
        <f t="shared" si="1"/>
        <v>0.95</v>
      </c>
    </row>
    <row r="21" spans="1:11" ht="15.75" customHeight="1" x14ac:dyDescent="0.3">
      <c r="A21" s="147" t="s">
        <v>164</v>
      </c>
      <c r="B21" s="147" t="s">
        <v>60</v>
      </c>
      <c r="C21" s="147" t="s">
        <v>79</v>
      </c>
      <c r="D21" s="147" t="s">
        <v>34</v>
      </c>
      <c r="E21" s="147" t="s">
        <v>73</v>
      </c>
      <c r="F21" s="147" t="str">
        <f>+VLOOKUP(A21,'Estado SCI'!$A$16:$I$59,9,0)</f>
        <v>Mantenimiento del control</v>
      </c>
      <c r="G21" s="147">
        <f>+VLOOKUP(A21,'Estado SCI'!$A$16:$L$59,12,0)</f>
        <v>40.234567891200001</v>
      </c>
      <c r="H21" s="147">
        <f t="shared" si="0"/>
        <v>21</v>
      </c>
      <c r="I21" s="147" t="str">
        <f>+IF(VLOOKUP(A21,'Estado SCI'!$A$16:$G$59,7,0)="","",VLOOKUP(A21,'Estado SCI'!$A$16:$G$59,7,0))</f>
        <v>Si</v>
      </c>
      <c r="J21" s="148">
        <f t="shared" si="2"/>
        <v>1</v>
      </c>
      <c r="K21" s="149">
        <f t="shared" si="1"/>
        <v>0.95</v>
      </c>
    </row>
    <row r="22" spans="1:11" ht="15" customHeight="1" x14ac:dyDescent="0.3">
      <c r="A22" s="147" t="s">
        <v>165</v>
      </c>
      <c r="B22" s="147" t="s">
        <v>60</v>
      </c>
      <c r="C22" s="147" t="s">
        <v>87</v>
      </c>
      <c r="D22" s="147" t="s">
        <v>36</v>
      </c>
      <c r="E22" s="147" t="s">
        <v>74</v>
      </c>
      <c r="F22" s="147" t="str">
        <f>+VLOOKUP(A22,'Estado SCI'!$A$16:$I$59,9,0)</f>
        <v>Oportunidad de mejora</v>
      </c>
      <c r="G22" s="147">
        <f>+VLOOKUP(A22,'Estado SCI'!$A$16:$L$59,12,0)</f>
        <v>30.23456789123</v>
      </c>
      <c r="H22" s="147">
        <f t="shared" si="0"/>
        <v>13</v>
      </c>
      <c r="I22" s="147" t="str">
        <f>+IF(VLOOKUP(A22,'Estado SCI'!$A$16:$G$59,7,0)="","",VLOOKUP(A22,'Estado SCI'!$A$16:$G$59,7,0))</f>
        <v>En proceso</v>
      </c>
      <c r="J22" s="148">
        <f t="shared" si="2"/>
        <v>0.5</v>
      </c>
      <c r="K22" s="149">
        <f t="shared" si="1"/>
        <v>0.95</v>
      </c>
    </row>
    <row r="23" spans="1:11" ht="15" customHeight="1" x14ac:dyDescent="0.3">
      <c r="A23" s="147" t="s">
        <v>166</v>
      </c>
      <c r="B23" s="147" t="s">
        <v>60</v>
      </c>
      <c r="C23" s="147" t="s">
        <v>87</v>
      </c>
      <c r="D23" s="147" t="s">
        <v>39</v>
      </c>
      <c r="E23" s="147" t="s">
        <v>76</v>
      </c>
      <c r="F23" s="147" t="str">
        <f>+VLOOKUP(A23,'Estado SCI'!$A$16:$I$59,9,0)</f>
        <v>Mantenimiento del control</v>
      </c>
      <c r="G23" s="147">
        <f>+VLOOKUP(A23,'Estado SCI'!$A$16:$L$59,12,0)</f>
        <v>40.234567891234001</v>
      </c>
      <c r="H23" s="147">
        <f t="shared" si="0"/>
        <v>22</v>
      </c>
      <c r="I23" s="147" t="str">
        <f>+IF(VLOOKUP(A23,'Estado SCI'!$A$16:$G$59,7,0)="","",VLOOKUP(A23,'Estado SCI'!$A$16:$G$59,7,0))</f>
        <v>Si</v>
      </c>
      <c r="J23" s="148">
        <f t="shared" si="2"/>
        <v>1</v>
      </c>
      <c r="K23" s="149">
        <f t="shared" si="1"/>
        <v>0.95</v>
      </c>
    </row>
    <row r="24" spans="1:11" ht="15" customHeight="1" x14ac:dyDescent="0.3">
      <c r="A24" s="147" t="s">
        <v>167</v>
      </c>
      <c r="B24" s="147" t="str">
        <f>+VLOOKUP(A24,'Estado SCI'!$A$16:$C$59,3,0)</f>
        <v>ACTIVIDADES DE CONTROL</v>
      </c>
      <c r="C24" s="147" t="s">
        <v>87</v>
      </c>
      <c r="D24" s="147" t="s">
        <v>34</v>
      </c>
      <c r="E24" s="147" t="s">
        <v>80</v>
      </c>
      <c r="F24" s="147" t="str">
        <f>+VLOOKUP(A24,'Estado SCI'!$A$16:$I$59,9,0)</f>
        <v>Mantenimiento del control</v>
      </c>
      <c r="G24" s="147">
        <f>+VLOOKUP(A24,'Estado SCI'!$A$16:$L$59,12,0)</f>
        <v>60.31</v>
      </c>
      <c r="H24" s="147">
        <f t="shared" si="0"/>
        <v>23</v>
      </c>
      <c r="I24" s="147" t="str">
        <f>+IF(VLOOKUP(A24,'Estado SCI'!$A$16:$G$59,7,0)="","",VLOOKUP(A24,'Estado SCI'!$A$16:$G$59,7,0))</f>
        <v>Si</v>
      </c>
      <c r="J24" s="148">
        <f t="shared" si="2"/>
        <v>1</v>
      </c>
      <c r="K24" s="149">
        <f t="shared" si="1"/>
        <v>1</v>
      </c>
    </row>
    <row r="25" spans="1:11" ht="15" customHeight="1" x14ac:dyDescent="0.3">
      <c r="A25" s="147" t="s">
        <v>168</v>
      </c>
      <c r="B25" s="147" t="s">
        <v>78</v>
      </c>
      <c r="C25" s="147" t="s">
        <v>87</v>
      </c>
      <c r="D25" s="147" t="s">
        <v>36</v>
      </c>
      <c r="E25" s="147" t="s">
        <v>81</v>
      </c>
      <c r="F25" s="147" t="str">
        <f>+VLOOKUP(A25,'Estado SCI'!$A$16:$I$59,9,0)</f>
        <v>Mantenimiento del control</v>
      </c>
      <c r="G25" s="147">
        <f>+VLOOKUP(A25,'Estado SCI'!$A$16:$L$59,12,0)</f>
        <v>60.323</v>
      </c>
      <c r="H25" s="147">
        <f t="shared" si="0"/>
        <v>24</v>
      </c>
      <c r="I25" s="147" t="str">
        <f>+IF(VLOOKUP(A25,'Estado SCI'!$A$16:$G$59,7,0)="","",VLOOKUP(A25,'Estado SCI'!$A$16:$G$59,7,0))</f>
        <v>Si</v>
      </c>
      <c r="J25" s="148">
        <f t="shared" si="2"/>
        <v>1</v>
      </c>
      <c r="K25" s="149">
        <f t="shared" si="1"/>
        <v>1</v>
      </c>
    </row>
    <row r="26" spans="1:11" ht="15" customHeight="1" x14ac:dyDescent="0.3">
      <c r="A26" s="147" t="s">
        <v>169</v>
      </c>
      <c r="B26" s="147" t="s">
        <v>78</v>
      </c>
      <c r="C26" s="147" t="s">
        <v>87</v>
      </c>
      <c r="D26" s="147" t="s">
        <v>39</v>
      </c>
      <c r="E26" s="147" t="s">
        <v>82</v>
      </c>
      <c r="F26" s="147" t="str">
        <f>+VLOOKUP(A26,'Estado SCI'!$A$16:$I$59,9,0)</f>
        <v>Mantenimiento del control</v>
      </c>
      <c r="G26" s="147">
        <f>+VLOOKUP(A26,'Estado SCI'!$A$16:$L$59,12,0)</f>
        <v>60.323999999999998</v>
      </c>
      <c r="H26" s="147">
        <f t="shared" si="0"/>
        <v>25</v>
      </c>
      <c r="I26" s="147" t="str">
        <f>+IF(VLOOKUP(A26,'Estado SCI'!$A$16:$G$59,7,0)="","",VLOOKUP(A26,'Estado SCI'!$A$16:$G$59,7,0))</f>
        <v>Si</v>
      </c>
      <c r="J26" s="148">
        <f t="shared" si="2"/>
        <v>1</v>
      </c>
      <c r="K26" s="149">
        <f t="shared" si="1"/>
        <v>1</v>
      </c>
    </row>
    <row r="27" spans="1:11" ht="15.75" customHeight="1" x14ac:dyDescent="0.3">
      <c r="A27" s="147" t="s">
        <v>170</v>
      </c>
      <c r="B27" s="147" t="s">
        <v>78</v>
      </c>
      <c r="C27" s="147" t="s">
        <v>87</v>
      </c>
      <c r="D27" s="147" t="s">
        <v>41</v>
      </c>
      <c r="E27" s="147" t="s">
        <v>83</v>
      </c>
      <c r="F27" s="147" t="str">
        <f>+VLOOKUP(A27,'Estado SCI'!$A$16:$I$59,9,0)</f>
        <v>Mantenimiento del control</v>
      </c>
      <c r="G27" s="147">
        <f>+VLOOKUP(A27,'Estado SCI'!$A$16:$L$59,12,0)</f>
        <v>60.325000000000003</v>
      </c>
      <c r="H27" s="147">
        <f t="shared" si="0"/>
        <v>26</v>
      </c>
      <c r="I27" s="147" t="str">
        <f>+IF(VLOOKUP(A27,'Estado SCI'!$A$16:$G$59,7,0)="","",VLOOKUP(A27,'Estado SCI'!$A$16:$G$59,7,0))</f>
        <v>Si</v>
      </c>
      <c r="J27" s="148">
        <f t="shared" si="2"/>
        <v>1</v>
      </c>
      <c r="K27" s="149">
        <f t="shared" si="1"/>
        <v>1</v>
      </c>
    </row>
    <row r="28" spans="1:11" ht="15" customHeight="1" x14ac:dyDescent="0.3">
      <c r="A28" s="147" t="s">
        <v>171</v>
      </c>
      <c r="B28" s="147" t="s">
        <v>78</v>
      </c>
      <c r="C28" s="147" t="s">
        <v>97</v>
      </c>
      <c r="D28" s="147" t="s">
        <v>43</v>
      </c>
      <c r="E28" s="147" t="s">
        <v>84</v>
      </c>
      <c r="F28" s="147" t="str">
        <f>+VLOOKUP(A28,'Estado SCI'!$A$16:$I$59,9,0)</f>
        <v>Mantenimiento del control</v>
      </c>
      <c r="G28" s="147">
        <f>+VLOOKUP(A28,'Estado SCI'!$A$16:$L$59,12,0)</f>
        <v>60.326000000000001</v>
      </c>
      <c r="H28" s="147">
        <f t="shared" si="0"/>
        <v>27</v>
      </c>
      <c r="I28" s="147" t="str">
        <f>+IF(VLOOKUP(A28,'Estado SCI'!$A$16:$G$59,7,0)="","",VLOOKUP(A28,'Estado SCI'!$A$16:$G$59,7,0))</f>
        <v>Si</v>
      </c>
      <c r="J28" s="148">
        <f t="shared" si="2"/>
        <v>1</v>
      </c>
      <c r="K28" s="149">
        <f t="shared" si="1"/>
        <v>1</v>
      </c>
    </row>
    <row r="29" spans="1:11" ht="15" customHeight="1" x14ac:dyDescent="0.3">
      <c r="A29" s="147" t="s">
        <v>172</v>
      </c>
      <c r="B29" s="147" t="str">
        <f>+VLOOKUP(A29,'Estado SCI'!$A$16:$C$59,3,0)</f>
        <v>INFORMACION Y COMUNICACIÓN</v>
      </c>
      <c r="C29" s="147" t="s">
        <v>97</v>
      </c>
      <c r="D29" s="147" t="s">
        <v>34</v>
      </c>
      <c r="E29" s="147" t="s">
        <v>88</v>
      </c>
      <c r="F29" s="147" t="str">
        <f>+VLOOKUP(A29,'Estado SCI'!$A$16:$I$59,9,0)</f>
        <v>Mantenimiento del control</v>
      </c>
      <c r="G29" s="147">
        <f>+VLOOKUP(A29,'Estado SCI'!$A$16:$L$59,12,0)</f>
        <v>80.412000000000006</v>
      </c>
      <c r="H29" s="147">
        <f t="shared" si="0"/>
        <v>31</v>
      </c>
      <c r="I29" s="147" t="str">
        <f>+IF(VLOOKUP(A29,'Estado SCI'!$A$16:$G$59,7,0)="","",VLOOKUP(A29,'Estado SCI'!$A$16:$G$59,7,0))</f>
        <v>Si</v>
      </c>
      <c r="J29" s="148">
        <f t="shared" si="2"/>
        <v>1</v>
      </c>
      <c r="K29" s="149">
        <f t="shared" si="1"/>
        <v>0.7857142857142857</v>
      </c>
    </row>
    <row r="30" spans="1:11" ht="15" customHeight="1" x14ac:dyDescent="0.3">
      <c r="A30" s="147" t="s">
        <v>173</v>
      </c>
      <c r="B30" s="147" t="s">
        <v>86</v>
      </c>
      <c r="C30" s="147" t="s">
        <v>97</v>
      </c>
      <c r="D30" s="147" t="s">
        <v>36</v>
      </c>
      <c r="E30" s="147" t="s">
        <v>89</v>
      </c>
      <c r="F30" s="147" t="str">
        <f>+VLOOKUP(A30,'Estado SCI'!$A$16:$I$59,9,0)</f>
        <v>Mantenimiento del control</v>
      </c>
      <c r="G30" s="147">
        <f>+VLOOKUP(A30,'Estado SCI'!$A$16:$L$59,12,0)</f>
        <v>80.412300000000002</v>
      </c>
      <c r="H30" s="147">
        <f t="shared" si="0"/>
        <v>32</v>
      </c>
      <c r="I30" s="147" t="str">
        <f>+IF(VLOOKUP(A30,'Estado SCI'!$A$16:$G$59,7,0)="","",VLOOKUP(A30,'Estado SCI'!$A$16:$G$59,7,0))</f>
        <v>Si</v>
      </c>
      <c r="J30" s="148">
        <f t="shared" si="2"/>
        <v>1</v>
      </c>
      <c r="K30" s="149">
        <f t="shared" si="1"/>
        <v>0.7857142857142857</v>
      </c>
    </row>
    <row r="31" spans="1:11" ht="15.75" customHeight="1" x14ac:dyDescent="0.3">
      <c r="A31" s="147" t="s">
        <v>174</v>
      </c>
      <c r="B31" s="147" t="s">
        <v>86</v>
      </c>
      <c r="C31" s="147" t="s">
        <v>97</v>
      </c>
      <c r="D31" s="147" t="s">
        <v>39</v>
      </c>
      <c r="E31" s="147" t="s">
        <v>90</v>
      </c>
      <c r="F31" s="147" t="str">
        <f>+VLOOKUP(A31,'Estado SCI'!$A$16:$I$59,9,0)</f>
        <v>Mantenimiento del control</v>
      </c>
      <c r="G31" s="147">
        <f>+VLOOKUP(A31,'Estado SCI'!$A$16:$L$59,12,0)</f>
        <v>80.41234</v>
      </c>
      <c r="H31" s="147">
        <f t="shared" si="0"/>
        <v>33</v>
      </c>
      <c r="I31" s="147" t="str">
        <f>+IF(VLOOKUP(A31,'Estado SCI'!$A$16:$G$59,7,0)="","",VLOOKUP(A31,'Estado SCI'!$A$16:$G$59,7,0))</f>
        <v>Si</v>
      </c>
      <c r="J31" s="148">
        <f t="shared" si="2"/>
        <v>1</v>
      </c>
      <c r="K31" s="149">
        <f t="shared" si="1"/>
        <v>0.7857142857142857</v>
      </c>
    </row>
    <row r="32" spans="1:11" x14ac:dyDescent="0.3">
      <c r="A32" s="147" t="s">
        <v>175</v>
      </c>
      <c r="B32" s="147" t="s">
        <v>86</v>
      </c>
      <c r="C32" s="147" t="s">
        <v>103</v>
      </c>
      <c r="D32" s="147" t="s">
        <v>41</v>
      </c>
      <c r="E32" s="147" t="s">
        <v>91</v>
      </c>
      <c r="F32" s="147" t="str">
        <f>+VLOOKUP(A32,'Estado SCI'!$A$16:$I$59,9,0)</f>
        <v>Oportunidad de mejora</v>
      </c>
      <c r="G32" s="147">
        <f>+VLOOKUP(A32,'Estado SCI'!$A$16:$L$59,12,0)</f>
        <v>70.412345000000002</v>
      </c>
      <c r="H32" s="147">
        <f t="shared" si="0"/>
        <v>28</v>
      </c>
      <c r="I32" s="147" t="str">
        <f>+IF(VLOOKUP(A32,'Estado SCI'!$A$16:$G$59,7,0)="","",VLOOKUP(A32,'Estado SCI'!$A$16:$G$59,7,0))</f>
        <v>En proceso</v>
      </c>
      <c r="J32" s="148">
        <f t="shared" si="2"/>
        <v>0.5</v>
      </c>
      <c r="K32" s="149">
        <f t="shared" si="1"/>
        <v>0.7857142857142857</v>
      </c>
    </row>
    <row r="33" spans="1:11" x14ac:dyDescent="0.3">
      <c r="A33" s="147" t="s">
        <v>176</v>
      </c>
      <c r="B33" s="147" t="s">
        <v>86</v>
      </c>
      <c r="C33" s="147" t="s">
        <v>177</v>
      </c>
      <c r="D33" s="147" t="s">
        <v>43</v>
      </c>
      <c r="E33" s="147" t="s">
        <v>92</v>
      </c>
      <c r="F33" s="147" t="str">
        <f>+VLOOKUP(A33,'Estado SCI'!$A$16:$I$59,9,0)</f>
        <v>Oportunidad de mejora</v>
      </c>
      <c r="G33" s="147">
        <f>+VLOOKUP(A33,'Estado SCI'!$A$16:$L$59,12,0)</f>
        <v>70.412345599999995</v>
      </c>
      <c r="H33" s="147">
        <f t="shared" si="0"/>
        <v>29</v>
      </c>
      <c r="I33" s="147" t="str">
        <f>+IF(VLOOKUP(A33,'Estado SCI'!$A$16:$G$59,7,0)="","",VLOOKUP(A33,'Estado SCI'!$A$16:$G$59,7,0))</f>
        <v>En proceso</v>
      </c>
      <c r="J33" s="148">
        <f t="shared" si="2"/>
        <v>0.5</v>
      </c>
      <c r="K33" s="149">
        <f t="shared" si="1"/>
        <v>0.7857142857142857</v>
      </c>
    </row>
    <row r="34" spans="1:11" x14ac:dyDescent="0.3">
      <c r="A34" s="147" t="s">
        <v>178</v>
      </c>
      <c r="B34" s="147" t="s">
        <v>86</v>
      </c>
      <c r="C34" s="147" t="s">
        <v>177</v>
      </c>
      <c r="D34" s="147" t="s">
        <v>45</v>
      </c>
      <c r="E34" s="147" t="s">
        <v>93</v>
      </c>
      <c r="F34" s="147" t="str">
        <f>+VLOOKUP(A34,'Estado SCI'!$A$16:$I$59,9,0)</f>
        <v>Mantenimiento del control</v>
      </c>
      <c r="G34" s="147">
        <f>+VLOOKUP(A34,'Estado SCI'!$A$16:$L$59,12,0)</f>
        <v>80.412345669999993</v>
      </c>
      <c r="H34" s="147">
        <f t="shared" si="0"/>
        <v>34</v>
      </c>
      <c r="I34" s="147" t="str">
        <f>+IF(VLOOKUP(A34,'Estado SCI'!$A$16:$G$59,7,0)="","",VLOOKUP(A34,'Estado SCI'!$A$16:$G$59,7,0))</f>
        <v>Si</v>
      </c>
      <c r="J34" s="148">
        <f t="shared" si="2"/>
        <v>1</v>
      </c>
      <c r="K34" s="149">
        <f t="shared" si="1"/>
        <v>0.7857142857142857</v>
      </c>
    </row>
    <row r="35" spans="1:11" x14ac:dyDescent="0.3">
      <c r="A35" s="147" t="s">
        <v>179</v>
      </c>
      <c r="B35" s="147" t="s">
        <v>86</v>
      </c>
      <c r="C35" s="147" t="s">
        <v>177</v>
      </c>
      <c r="D35" s="147" t="s">
        <v>47</v>
      </c>
      <c r="E35" s="147" t="s">
        <v>94</v>
      </c>
      <c r="F35" s="147" t="str">
        <f>+VLOOKUP(A35,'Estado SCI'!$A$16:$I$59,9,0)</f>
        <v>Oportunidad de mejora</v>
      </c>
      <c r="G35" s="147">
        <f>+VLOOKUP(A35,'Estado SCI'!$A$16:$L$59,12,0)</f>
        <v>70.412345677999994</v>
      </c>
      <c r="H35" s="147">
        <f t="shared" si="0"/>
        <v>30</v>
      </c>
      <c r="I35" s="147" t="str">
        <f>+IF(VLOOKUP(A35,'Estado SCI'!$A$16:$G$59,7,0)="","",VLOOKUP(A35,'Estado SCI'!$A$16:$G$59,7,0))</f>
        <v>En proceso</v>
      </c>
      <c r="J35" s="148">
        <f t="shared" si="2"/>
        <v>0.5</v>
      </c>
      <c r="K35" s="149">
        <f t="shared" si="1"/>
        <v>0.7857142857142857</v>
      </c>
    </row>
    <row r="36" spans="1:11" x14ac:dyDescent="0.3">
      <c r="A36" s="147" t="s">
        <v>180</v>
      </c>
      <c r="B36" s="147" t="str">
        <f>+VLOOKUP(A36,'Estado SCI'!$A$16:$C$59,3,0)</f>
        <v>ACTIVIDADES DE MONITOREO</v>
      </c>
      <c r="C36" s="147" t="s">
        <v>177</v>
      </c>
      <c r="D36" s="147" t="s">
        <v>34</v>
      </c>
      <c r="E36" s="147" t="s">
        <v>98</v>
      </c>
      <c r="F36" s="147" t="str">
        <f>+VLOOKUP(A36,'Estado SCI'!$A$16:$I$59,9,0)</f>
        <v>Mantenimiento del control</v>
      </c>
      <c r="G36" s="147">
        <f>+VLOOKUP(A36,'Estado SCI'!$A$16:$L$59,12,0)</f>
        <v>120.851</v>
      </c>
      <c r="H36" s="147">
        <f t="shared" si="0"/>
        <v>35</v>
      </c>
      <c r="I36" s="147" t="str">
        <f>+IF(VLOOKUP(A36,'Estado SCI'!$A$16:$G$59,7,0)="","",VLOOKUP(A36,'Estado SCI'!$A$16:$G$59,7,0))</f>
        <v>Si</v>
      </c>
      <c r="J36" s="148">
        <f t="shared" si="2"/>
        <v>1</v>
      </c>
      <c r="K36" s="149">
        <f t="shared" si="1"/>
        <v>1</v>
      </c>
    </row>
    <row r="37" spans="1:11" x14ac:dyDescent="0.3">
      <c r="A37" s="147" t="s">
        <v>181</v>
      </c>
      <c r="B37" s="147" t="s">
        <v>96</v>
      </c>
      <c r="C37" s="147" t="s">
        <v>177</v>
      </c>
      <c r="D37" s="147" t="s">
        <v>41</v>
      </c>
      <c r="E37" s="147" t="s">
        <v>99</v>
      </c>
      <c r="F37" s="147" t="str">
        <f>+VLOOKUP(A37,'Estado SCI'!$A$16:$I$59,9,0)</f>
        <v>Mantenimiento del control</v>
      </c>
      <c r="G37" s="147">
        <f>+VLOOKUP(A37,'Estado SCI'!$A$16:$L$59,12,0)</f>
        <v>120.85120000000001</v>
      </c>
      <c r="H37" s="147">
        <f t="shared" si="0"/>
        <v>36</v>
      </c>
      <c r="I37" s="147" t="str">
        <f>+IF(VLOOKUP(A37,'Estado SCI'!$A$16:$G$59,7,0)="","",VLOOKUP(A37,'Estado SCI'!$A$16:$G$59,7,0))</f>
        <v>Si</v>
      </c>
      <c r="J37" s="148">
        <f t="shared" si="2"/>
        <v>1</v>
      </c>
      <c r="K37" s="149">
        <f t="shared" si="1"/>
        <v>1</v>
      </c>
    </row>
    <row r="38" spans="1:11" x14ac:dyDescent="0.3">
      <c r="A38" s="147" t="s">
        <v>182</v>
      </c>
      <c r="B38" s="147" t="s">
        <v>96</v>
      </c>
      <c r="C38" s="147" t="s">
        <v>67</v>
      </c>
      <c r="D38" s="147" t="s">
        <v>45</v>
      </c>
      <c r="E38" s="147" t="s">
        <v>100</v>
      </c>
      <c r="F38" s="147" t="str">
        <f>+VLOOKUP(A38,'Estado SCI'!$A$16:$I$59,9,0)</f>
        <v>Mantenimiento del control</v>
      </c>
      <c r="G38" s="147">
        <f>+VLOOKUP(A38,'Estado SCI'!$A$16:$L$59,12,0)</f>
        <v>120.85123</v>
      </c>
      <c r="H38" s="147">
        <f t="shared" si="0"/>
        <v>37</v>
      </c>
      <c r="I38" s="147" t="str">
        <f>+IF(VLOOKUP(A38,'Estado SCI'!$A$16:$G$59,7,0)="","",VLOOKUP(A38,'Estado SCI'!$A$16:$G$59,7,0))</f>
        <v>Si</v>
      </c>
      <c r="J38" s="148">
        <f t="shared" si="2"/>
        <v>1</v>
      </c>
      <c r="K38" s="149">
        <f t="shared" si="1"/>
        <v>1</v>
      </c>
    </row>
    <row r="39" spans="1:11" x14ac:dyDescent="0.3">
      <c r="A39" s="147" t="s">
        <v>183</v>
      </c>
      <c r="B39" s="147" t="s">
        <v>96</v>
      </c>
      <c r="C39" s="147" t="s">
        <v>67</v>
      </c>
      <c r="D39" s="147" t="s">
        <v>47</v>
      </c>
      <c r="E39" s="147" t="s">
        <v>101</v>
      </c>
      <c r="F39" s="147" t="str">
        <f>+VLOOKUP(A39,'Estado SCI'!$A$16:$I$59,9,0)</f>
        <v>Mantenimiento del control</v>
      </c>
      <c r="G39" s="147">
        <f>+VLOOKUP(A39,'Estado SCI'!$A$16:$L$59,12,0)</f>
        <v>120.85123400000001</v>
      </c>
      <c r="H39" s="147">
        <f t="shared" si="0"/>
        <v>38</v>
      </c>
      <c r="I39" s="147" t="str">
        <f>+IF(VLOOKUP(A39,'Estado SCI'!$A$16:$G$59,7,0)="","",VLOOKUP(A39,'Estado SCI'!$A$16:$G$59,7,0))</f>
        <v>Si</v>
      </c>
      <c r="J39" s="148">
        <f t="shared" si="2"/>
        <v>1</v>
      </c>
      <c r="K39" s="149">
        <f t="shared" si="1"/>
        <v>1</v>
      </c>
    </row>
    <row r="40" spans="1:11" x14ac:dyDescent="0.3">
      <c r="A40" s="147" t="s">
        <v>184</v>
      </c>
      <c r="B40" s="147" t="s">
        <v>96</v>
      </c>
      <c r="C40" s="147" t="s">
        <v>67</v>
      </c>
      <c r="D40" s="147" t="s">
        <v>49</v>
      </c>
      <c r="E40" s="147" t="s">
        <v>104</v>
      </c>
      <c r="F40" s="147" t="str">
        <f>+VLOOKUP(A40,'Estado SCI'!$A$16:$I$59,9,0)</f>
        <v>Mantenimiento del control</v>
      </c>
      <c r="G40" s="147">
        <f>+VLOOKUP(A40,'Estado SCI'!$A$16:$L$59,12,0)</f>
        <v>120.8512345</v>
      </c>
      <c r="H40" s="147">
        <f t="shared" si="0"/>
        <v>39</v>
      </c>
      <c r="I40" s="147" t="str">
        <f>+IF(VLOOKUP(A40,'Estado SCI'!$A$16:$G$59,7,0)="","",VLOOKUP(A40,'Estado SCI'!$A$16:$G$59,7,0))</f>
        <v>Si</v>
      </c>
      <c r="J40" s="148">
        <f t="shared" si="2"/>
        <v>1</v>
      </c>
      <c r="K40" s="149">
        <f t="shared" si="1"/>
        <v>1</v>
      </c>
    </row>
    <row r="41" spans="1:11" x14ac:dyDescent="0.3">
      <c r="A41" s="147" t="s">
        <v>185</v>
      </c>
      <c r="B41" s="147" t="s">
        <v>96</v>
      </c>
      <c r="C41" s="147" t="s">
        <v>67</v>
      </c>
      <c r="D41" s="147" t="s">
        <v>34</v>
      </c>
      <c r="E41" s="147" t="s">
        <v>107</v>
      </c>
      <c r="F41" s="147" t="str">
        <f>+VLOOKUP(A41,'Estado SCI'!$A$16:$I$59,9,0)</f>
        <v>Mantenimiento del control</v>
      </c>
      <c r="G41" s="147">
        <f>+VLOOKUP(A41,'Estado SCI'!$A$16:$L$59,12,0)</f>
        <v>120.85123455999999</v>
      </c>
      <c r="H41" s="147">
        <f t="shared" si="0"/>
        <v>40</v>
      </c>
      <c r="I41" s="147" t="str">
        <f>+IF(VLOOKUP(A41,'Estado SCI'!$A$16:$G$59,7,0)="","",VLOOKUP(A41,'Estado SCI'!$A$16:$G$59,7,0))</f>
        <v>Si</v>
      </c>
      <c r="J41" s="148">
        <f t="shared" si="2"/>
        <v>1</v>
      </c>
      <c r="K41" s="149">
        <f t="shared" si="1"/>
        <v>1</v>
      </c>
    </row>
    <row r="42" spans="1:11" x14ac:dyDescent="0.3">
      <c r="A42" s="147" t="s">
        <v>186</v>
      </c>
      <c r="B42" s="147" t="s">
        <v>96</v>
      </c>
      <c r="C42" s="147" t="s">
        <v>72</v>
      </c>
      <c r="D42" s="147" t="s">
        <v>36</v>
      </c>
      <c r="E42" s="147" t="s">
        <v>108</v>
      </c>
      <c r="F42" s="147" t="str">
        <f>+VLOOKUP(A42,'Estado SCI'!$A$16:$I$59,9,0)</f>
        <v>Mantenimiento del control</v>
      </c>
      <c r="G42" s="147">
        <f>+VLOOKUP(A42,'Estado SCI'!$A$16:$L$59,12,0)</f>
        <v>120.85123456700001</v>
      </c>
      <c r="H42" s="147">
        <f t="shared" si="0"/>
        <v>41</v>
      </c>
      <c r="I42" s="147" t="str">
        <f>+IF(VLOOKUP(A42,'Estado SCI'!$A$16:$G$59,7,0)="","",VLOOKUP(A42,'Estado SCI'!$A$16:$G$59,7,0))</f>
        <v>Si</v>
      </c>
      <c r="J42" s="148">
        <f t="shared" si="2"/>
        <v>1</v>
      </c>
      <c r="K42" s="149">
        <f t="shared" si="1"/>
        <v>1</v>
      </c>
    </row>
    <row r="43" spans="1:11" x14ac:dyDescent="0.3">
      <c r="A43" s="147" t="s">
        <v>187</v>
      </c>
      <c r="B43" s="147" t="s">
        <v>96</v>
      </c>
      <c r="C43" s="147" t="s">
        <v>72</v>
      </c>
      <c r="D43" s="147" t="s">
        <v>39</v>
      </c>
      <c r="E43" s="147" t="s">
        <v>109</v>
      </c>
      <c r="F43" s="147" t="str">
        <f>+VLOOKUP(A43,'Estado SCI'!$A$16:$I$59,9,0)</f>
        <v>Mantenimiento del control</v>
      </c>
      <c r="G43" s="147">
        <f>+VLOOKUP(A43,'Estado SCI'!$A$16:$L$59,12,0)</f>
        <v>120.85123456780001</v>
      </c>
      <c r="H43" s="147">
        <f t="shared" si="0"/>
        <v>42</v>
      </c>
      <c r="I43" s="147" t="str">
        <f>+IF(VLOOKUP(A43,'Estado SCI'!$A$16:$G$59,7,0)="","",VLOOKUP(A43,'Estado SCI'!$A$16:$G$59,7,0))</f>
        <v>Si</v>
      </c>
      <c r="J43" s="148">
        <f t="shared" si="2"/>
        <v>1</v>
      </c>
      <c r="K43" s="149">
        <f t="shared" si="1"/>
        <v>1</v>
      </c>
    </row>
    <row r="44" spans="1:11" x14ac:dyDescent="0.3">
      <c r="A44" s="147" t="s">
        <v>188</v>
      </c>
      <c r="B44" s="147" t="s">
        <v>96</v>
      </c>
      <c r="C44" s="147" t="s">
        <v>72</v>
      </c>
      <c r="D44" s="147" t="s">
        <v>41</v>
      </c>
      <c r="E44" s="147" t="s">
        <v>110</v>
      </c>
      <c r="F44" s="147" t="str">
        <f>+VLOOKUP(A44,'Estado SCI'!$A$16:$I$59,9,0)</f>
        <v>Mantenimiento del control</v>
      </c>
      <c r="G44" s="147">
        <f>+VLOOKUP(A44,'Estado SCI'!$A$16:$L$59,12,0)</f>
        <v>120.85123456789</v>
      </c>
      <c r="H44" s="147">
        <f t="shared" si="0"/>
        <v>43</v>
      </c>
      <c r="I44" s="147" t="str">
        <f>+IF(VLOOKUP(A44,'Estado SCI'!$A$16:$G$59,7,0)="","",VLOOKUP(A44,'Estado SCI'!$A$16:$G$59,7,0))</f>
        <v>Si</v>
      </c>
      <c r="J44" s="148">
        <f t="shared" si="2"/>
        <v>1</v>
      </c>
      <c r="K44" s="149">
        <f t="shared" si="1"/>
        <v>1</v>
      </c>
    </row>
    <row r="45" spans="1:11" x14ac:dyDescent="0.3">
      <c r="A45" s="147" t="s">
        <v>189</v>
      </c>
      <c r="B45" s="147" t="s">
        <v>96</v>
      </c>
      <c r="C45" s="147" t="s">
        <v>72</v>
      </c>
      <c r="D45" s="147" t="s">
        <v>43</v>
      </c>
      <c r="E45" s="147" t="s">
        <v>111</v>
      </c>
      <c r="F45" s="147" t="str">
        <f>+VLOOKUP(A45,'Estado SCI'!$A$16:$I$59,9,0)</f>
        <v>Mantenimiento del control</v>
      </c>
      <c r="G45" s="147">
        <f>+VLOOKUP(A45,'Estado SCI'!$A$16:$L$59,12,0)</f>
        <v>120.851234567891</v>
      </c>
      <c r="H45" s="147">
        <f t="shared" si="0"/>
        <v>44</v>
      </c>
      <c r="I45" s="147" t="str">
        <f>+IF(VLOOKUP(A45,'Estado SCI'!$A$16:$G$59,7,0)="","",VLOOKUP(A45,'Estado SCI'!$A$16:$G$59,7,0))</f>
        <v>Si</v>
      </c>
      <c r="J45" s="148">
        <f t="shared" si="2"/>
        <v>1</v>
      </c>
      <c r="K45" s="149">
        <f t="shared" si="1"/>
        <v>1</v>
      </c>
    </row>
  </sheetData>
  <sheetProtection algorithmName="SHA-512" hashValue="eXgkKlTi9xJKAI7t6Aeb2RaFpkfyF43pI2BIhtxDc7hsl0SqLK8I4Wc7jbZwC5kw3uyIHOBIUXRnh5cC70LKYA==" saltValue="AxKzX6Ar80vT7acQV8rFpQ==" spinCount="100000" sheet="1" objects="1" scenarios="1" selectLockedCells="1"/>
  <autoFilter ref="A1:K45"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User</cp:lastModifiedBy>
  <cp:revision/>
  <cp:lastPrinted>2022-07-14T15:09:20Z</cp:lastPrinted>
  <dcterms:created xsi:type="dcterms:W3CDTF">2020-04-28T13:58:09Z</dcterms:created>
  <dcterms:modified xsi:type="dcterms:W3CDTF">2025-07-10T21:46:19Z</dcterms:modified>
  <cp:category/>
  <cp:contentStatus/>
</cp:coreProperties>
</file>